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51\福祉課\○高齢者支援\運営委員会\H29\照会・回答（事業計画）\（314〆）第7期計画におけるサービス見込量等の推計結果（最終値）\"/>
    </mc:Choice>
  </mc:AlternateContent>
  <bookViews>
    <workbookView xWindow="0" yWindow="0" windowWidth="20490" windowHeight="7530" tabRatio="705" activeTab="2"/>
  </bookViews>
  <sheets>
    <sheet name="1_推計値サマリ" sheetId="1" r:id="rId1"/>
    <sheet name="2_サービス別給付費" sheetId="2" r:id="rId2"/>
    <sheet name="3_保険料推計" sheetId="8" r:id="rId3"/>
    <sheet name="(参考)保険料の推計に要する係数" sheetId="9" r:id="rId4"/>
  </sheets>
  <definedNames>
    <definedName name="_xlnm.Print_Area" localSheetId="3">'(参考)保険料の推計に要する係数'!$A$1:$H$35</definedName>
    <definedName name="_xlnm.Print_Area" localSheetId="0">'1_推計値サマリ'!$A$1:$M$136</definedName>
    <definedName name="_xlnm.Print_Area" localSheetId="1">'2_サービス別給付費'!$A$1:$M$150</definedName>
    <definedName name="_xlnm.Print_Area" localSheetId="2">'3_保険料推計'!$A$1:$J$249</definedName>
    <definedName name="グラフ選択">#REF!</definedName>
    <definedName name="サービス">#REF!</definedName>
    <definedName name="サービス選択">#REF!</definedName>
    <definedName name="サービス名">#REF!</definedName>
    <definedName name="在宅サービス">#REF!</definedName>
    <definedName name="施設・居住系サービス">#REF!</definedName>
    <definedName name="選択肢">#REF!</definedName>
    <definedName name="年度選択" localSheetId="3">#REF!</definedName>
    <definedName name="年度選択">#REF!</definedName>
  </definedNames>
  <calcPr calcId="162913"/>
</workbook>
</file>

<file path=xl/calcChain.xml><?xml version="1.0" encoding="utf-8"?>
<calcChain xmlns="http://schemas.openxmlformats.org/spreadsheetml/2006/main">
  <c r="G128" i="8" l="1"/>
  <c r="J182" i="8"/>
  <c r="I182" i="8"/>
  <c r="H182" i="8"/>
  <c r="G182" i="8"/>
  <c r="K132" i="2" l="1"/>
  <c r="I132" i="2"/>
  <c r="H132" i="2"/>
  <c r="G132" i="2"/>
  <c r="G56" i="2"/>
  <c r="F132" i="2"/>
  <c r="G184" i="8"/>
  <c r="G183" i="8"/>
  <c r="F181" i="8"/>
  <c r="K64" i="1" l="1"/>
  <c r="I64" i="1" l="1"/>
  <c r="H64" i="1"/>
  <c r="G64" i="1"/>
  <c r="G104" i="8"/>
  <c r="G102" i="8"/>
  <c r="G155" i="8" s="1"/>
  <c r="J104" i="8"/>
  <c r="I104" i="8"/>
  <c r="H104" i="8"/>
  <c r="G91" i="8" l="1"/>
  <c r="G90" i="8"/>
  <c r="G89" i="8" s="1"/>
  <c r="D132" i="2" l="1"/>
  <c r="D139" i="2"/>
  <c r="F139" i="2" l="1"/>
  <c r="E139" i="2"/>
  <c r="E132" i="2" l="1"/>
  <c r="J141" i="2" l="1"/>
  <c r="H141" i="2"/>
  <c r="I141" i="2"/>
  <c r="G141" i="2"/>
  <c r="E141" i="2"/>
  <c r="F141" i="2"/>
  <c r="D141" i="2"/>
  <c r="J145" i="2" l="1"/>
  <c r="J147" i="2" s="1"/>
  <c r="H145" i="2"/>
  <c r="H147" i="2" s="1"/>
  <c r="I145" i="2"/>
  <c r="I147" i="2" s="1"/>
  <c r="G145" i="2"/>
  <c r="G147" i="2" s="1"/>
  <c r="E145" i="2"/>
  <c r="E147" i="2" s="1"/>
  <c r="F145" i="2"/>
  <c r="F147" i="2" s="1"/>
  <c r="D145" i="2"/>
  <c r="D147" i="2" s="1"/>
  <c r="J16" i="8" l="1"/>
  <c r="F16" i="8"/>
  <c r="J5" i="8" l="1"/>
  <c r="J4" i="8"/>
  <c r="J3" i="8"/>
  <c r="J102" i="8" l="1"/>
  <c r="J91" i="8" s="1"/>
  <c r="J89" i="8" s="1"/>
  <c r="I102" i="8"/>
  <c r="H102" i="8"/>
  <c r="J189" i="8"/>
  <c r="I189" i="8"/>
  <c r="H189" i="8"/>
  <c r="G189" i="8"/>
  <c r="J184" i="8"/>
  <c r="I184" i="8"/>
  <c r="J183" i="8"/>
  <c r="H48" i="8" s="1"/>
  <c r="I183" i="8"/>
  <c r="H183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J128" i="8"/>
  <c r="I128" i="8"/>
  <c r="H128" i="8"/>
  <c r="F127" i="8"/>
  <c r="F126" i="8"/>
  <c r="F125" i="8"/>
  <c r="F124" i="8"/>
  <c r="F123" i="8"/>
  <c r="F122" i="8"/>
  <c r="F121" i="8"/>
  <c r="F120" i="8"/>
  <c r="F119" i="8"/>
  <c r="F106" i="8"/>
  <c r="F105" i="8"/>
  <c r="F103" i="8"/>
  <c r="F93" i="8"/>
  <c r="F84" i="8"/>
  <c r="F83" i="8"/>
  <c r="J82" i="8"/>
  <c r="I82" i="8"/>
  <c r="H82" i="8"/>
  <c r="G82" i="8"/>
  <c r="J81" i="8"/>
  <c r="J78" i="8" s="1"/>
  <c r="I81" i="8"/>
  <c r="I78" i="8" s="1"/>
  <c r="H81" i="8"/>
  <c r="H78" i="8" s="1"/>
  <c r="G81" i="8"/>
  <c r="G78" i="8" s="1"/>
  <c r="F80" i="8"/>
  <c r="F77" i="8"/>
  <c r="F76" i="8"/>
  <c r="F75" i="8"/>
  <c r="F74" i="8"/>
  <c r="J73" i="8"/>
  <c r="I73" i="8"/>
  <c r="H73" i="8"/>
  <c r="G73" i="8"/>
  <c r="F72" i="8"/>
  <c r="F71" i="8"/>
  <c r="H90" i="8" l="1"/>
  <c r="H91" i="8"/>
  <c r="H89" i="8" s="1"/>
  <c r="I91" i="8"/>
  <c r="I89" i="8" s="1"/>
  <c r="I90" i="8"/>
  <c r="H60" i="8"/>
  <c r="F182" i="8"/>
  <c r="I117" i="8"/>
  <c r="H117" i="8"/>
  <c r="H114" i="8"/>
  <c r="H50" i="8"/>
  <c r="H57" i="8"/>
  <c r="H115" i="8"/>
  <c r="H110" i="8"/>
  <c r="F104" i="8"/>
  <c r="H46" i="8"/>
  <c r="H111" i="8"/>
  <c r="H130" i="8"/>
  <c r="F183" i="8"/>
  <c r="F50" i="8" s="1"/>
  <c r="H58" i="8"/>
  <c r="H108" i="8"/>
  <c r="H92" i="8" s="1"/>
  <c r="H88" i="8" s="1"/>
  <c r="H112" i="8"/>
  <c r="H116" i="8"/>
  <c r="I130" i="8"/>
  <c r="H109" i="8"/>
  <c r="H113" i="8"/>
  <c r="F128" i="8"/>
  <c r="I108" i="8"/>
  <c r="I111" i="8"/>
  <c r="I113" i="8"/>
  <c r="I115" i="8"/>
  <c r="I109" i="8"/>
  <c r="H62" i="8"/>
  <c r="F73" i="8"/>
  <c r="F82" i="8"/>
  <c r="F46" i="8" s="1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H132" i="8"/>
  <c r="H134" i="8"/>
  <c r="H136" i="8"/>
  <c r="H138" i="8"/>
  <c r="H140" i="8"/>
  <c r="H142" i="8"/>
  <c r="H144" i="8"/>
  <c r="H146" i="8"/>
  <c r="H148" i="8"/>
  <c r="H150" i="8"/>
  <c r="H152" i="8"/>
  <c r="H154" i="8"/>
  <c r="H131" i="8"/>
  <c r="H133" i="8"/>
  <c r="H135" i="8"/>
  <c r="H137" i="8"/>
  <c r="H139" i="8"/>
  <c r="H141" i="8"/>
  <c r="H143" i="8"/>
  <c r="H145" i="8"/>
  <c r="H147" i="8"/>
  <c r="H149" i="8"/>
  <c r="H151" i="8"/>
  <c r="H153" i="8"/>
  <c r="H155" i="8"/>
  <c r="J116" i="8"/>
  <c r="G132" i="8"/>
  <c r="G138" i="8"/>
  <c r="G141" i="8"/>
  <c r="G143" i="8"/>
  <c r="G145" i="8"/>
  <c r="G147" i="8"/>
  <c r="G149" i="8"/>
  <c r="G151" i="8"/>
  <c r="G153" i="8"/>
  <c r="G131" i="8"/>
  <c r="G133" i="8"/>
  <c r="G134" i="8"/>
  <c r="G135" i="8"/>
  <c r="G136" i="8"/>
  <c r="G137" i="8"/>
  <c r="G139" i="8"/>
  <c r="G140" i="8"/>
  <c r="G142" i="8"/>
  <c r="G144" i="8"/>
  <c r="G146" i="8"/>
  <c r="G148" i="8"/>
  <c r="G150" i="8"/>
  <c r="G152" i="8"/>
  <c r="G154" i="8"/>
  <c r="J108" i="8"/>
  <c r="J92" i="8" s="1"/>
  <c r="J88" i="8" s="1"/>
  <c r="I110" i="8"/>
  <c r="I112" i="8"/>
  <c r="I92" i="8" s="1"/>
  <c r="I88" i="8" s="1"/>
  <c r="I114" i="8"/>
  <c r="I116" i="8"/>
  <c r="J112" i="8"/>
  <c r="J115" i="8"/>
  <c r="J111" i="8"/>
  <c r="J110" i="8"/>
  <c r="J114" i="8"/>
  <c r="J109" i="8"/>
  <c r="J113" i="8"/>
  <c r="J117" i="8"/>
  <c r="J130" i="8"/>
  <c r="F102" i="8"/>
  <c r="F130" i="8" s="1"/>
  <c r="G111" i="8"/>
  <c r="G115" i="8"/>
  <c r="F78" i="8"/>
  <c r="F81" i="8"/>
  <c r="G109" i="8"/>
  <c r="G113" i="8"/>
  <c r="G117" i="8"/>
  <c r="H45" i="8"/>
  <c r="G110" i="8"/>
  <c r="G114" i="8"/>
  <c r="H184" i="8"/>
  <c r="F184" i="8" s="1"/>
  <c r="G108" i="8"/>
  <c r="G112" i="8"/>
  <c r="G116" i="8"/>
  <c r="G130" i="8"/>
  <c r="F113" i="8" l="1"/>
  <c r="F115" i="8"/>
  <c r="G92" i="8"/>
  <c r="G88" i="8" s="1"/>
  <c r="F48" i="8"/>
  <c r="F114" i="8"/>
  <c r="F111" i="8"/>
  <c r="F112" i="8"/>
  <c r="F116" i="8"/>
  <c r="F108" i="8"/>
  <c r="F134" i="8"/>
  <c r="F138" i="8"/>
  <c r="F142" i="8"/>
  <c r="F146" i="8"/>
  <c r="F150" i="8"/>
  <c r="F154" i="8"/>
  <c r="F153" i="8"/>
  <c r="F132" i="8"/>
  <c r="F140" i="8"/>
  <c r="F144" i="8"/>
  <c r="F152" i="8"/>
  <c r="F135" i="8"/>
  <c r="F147" i="8"/>
  <c r="F155" i="8"/>
  <c r="F133" i="8"/>
  <c r="F137" i="8"/>
  <c r="F141" i="8"/>
  <c r="F145" i="8"/>
  <c r="F149" i="8"/>
  <c r="F136" i="8"/>
  <c r="F148" i="8"/>
  <c r="F131" i="8"/>
  <c r="F139" i="8"/>
  <c r="F143" i="8"/>
  <c r="F151" i="8"/>
  <c r="F45" i="8"/>
  <c r="F117" i="8"/>
  <c r="F109" i="8"/>
  <c r="F110" i="8"/>
  <c r="F62" i="8"/>
  <c r="F60" i="8"/>
  <c r="F58" i="8"/>
  <c r="F57" i="8"/>
  <c r="J140" i="2" l="1"/>
  <c r="E140" i="2"/>
  <c r="F140" i="2"/>
  <c r="G140" i="2"/>
  <c r="H140" i="2"/>
  <c r="I140" i="2"/>
  <c r="D140" i="2"/>
  <c r="J139" i="2"/>
  <c r="G139" i="2"/>
  <c r="H139" i="2"/>
  <c r="I139" i="2"/>
  <c r="L126" i="2"/>
  <c r="L127" i="2"/>
  <c r="J126" i="2"/>
  <c r="J127" i="2"/>
  <c r="I134" i="1" l="1"/>
  <c r="I133" i="1"/>
  <c r="I132" i="1"/>
  <c r="I131" i="1"/>
  <c r="I130" i="1"/>
  <c r="I129" i="1"/>
  <c r="I128" i="1"/>
  <c r="I127" i="1"/>
  <c r="I126" i="1"/>
  <c r="I125" i="1"/>
  <c r="I124" i="1"/>
  <c r="G134" i="1"/>
  <c r="G133" i="1"/>
  <c r="G132" i="1"/>
  <c r="G131" i="1"/>
  <c r="G130" i="1"/>
  <c r="G129" i="1"/>
  <c r="G128" i="1"/>
  <c r="G127" i="1"/>
  <c r="G126" i="1"/>
  <c r="G125" i="1"/>
  <c r="G124" i="1"/>
  <c r="E134" i="1"/>
  <c r="E133" i="1"/>
  <c r="E132" i="1"/>
  <c r="E131" i="1"/>
  <c r="E130" i="1"/>
  <c r="E129" i="1"/>
  <c r="E128" i="1"/>
  <c r="E127" i="1"/>
  <c r="E126" i="1"/>
  <c r="E125" i="1"/>
  <c r="E124" i="1"/>
  <c r="J118" i="2"/>
  <c r="J119" i="2"/>
  <c r="J120" i="2"/>
  <c r="L118" i="2"/>
  <c r="L119" i="2"/>
  <c r="L120" i="2"/>
  <c r="L112" i="2"/>
  <c r="L113" i="2"/>
  <c r="L35" i="2"/>
  <c r="L36" i="2"/>
  <c r="L37" i="2"/>
  <c r="L38" i="2"/>
  <c r="L39" i="2"/>
  <c r="L40" i="2"/>
  <c r="L41" i="2"/>
  <c r="L42" i="2"/>
  <c r="L43" i="2"/>
  <c r="L44" i="2"/>
  <c r="J35" i="2"/>
  <c r="J36" i="2"/>
  <c r="J37" i="2"/>
  <c r="J38" i="2"/>
  <c r="J39" i="2"/>
  <c r="J40" i="2"/>
  <c r="J41" i="2"/>
  <c r="J42" i="2"/>
  <c r="J43" i="2"/>
  <c r="L94" i="2"/>
  <c r="L95" i="2"/>
  <c r="L96" i="2"/>
  <c r="L97" i="2"/>
  <c r="J94" i="2"/>
  <c r="J95" i="2"/>
  <c r="J96" i="2"/>
  <c r="J97" i="2"/>
  <c r="J113" i="2"/>
  <c r="J112" i="2"/>
  <c r="J55" i="2"/>
  <c r="J54" i="2"/>
  <c r="J53" i="2"/>
  <c r="J52" i="2"/>
  <c r="J51" i="2"/>
  <c r="J50" i="2"/>
  <c r="J49" i="2"/>
  <c r="J48" i="2"/>
  <c r="J47" i="2"/>
  <c r="J45" i="2"/>
  <c r="J44" i="2"/>
  <c r="J34" i="2"/>
  <c r="J33" i="2"/>
  <c r="J32" i="2"/>
  <c r="J31" i="2"/>
  <c r="J30" i="2"/>
  <c r="J29" i="2"/>
  <c r="J28" i="2"/>
  <c r="J27" i="2"/>
  <c r="J24" i="2"/>
  <c r="J23" i="2"/>
  <c r="J22" i="2"/>
  <c r="J21" i="2"/>
  <c r="J20" i="2"/>
  <c r="J19" i="2"/>
  <c r="J18" i="2"/>
  <c r="J17" i="2"/>
  <c r="J16" i="2"/>
  <c r="J15" i="2"/>
  <c r="J14" i="2"/>
  <c r="L55" i="2"/>
  <c r="L54" i="2"/>
  <c r="L53" i="2"/>
  <c r="L52" i="2"/>
  <c r="L51" i="2"/>
  <c r="L50" i="2"/>
  <c r="L49" i="2"/>
  <c r="L48" i="2"/>
  <c r="L47" i="2"/>
  <c r="L45" i="2"/>
  <c r="L34" i="2"/>
  <c r="L33" i="2"/>
  <c r="L32" i="2"/>
  <c r="L31" i="2"/>
  <c r="L30" i="2"/>
  <c r="L29" i="2"/>
  <c r="L28" i="2"/>
  <c r="L27" i="2"/>
  <c r="L24" i="2"/>
  <c r="L23" i="2"/>
  <c r="L22" i="2"/>
  <c r="L21" i="2"/>
  <c r="L20" i="2"/>
  <c r="L19" i="2"/>
  <c r="L18" i="2"/>
  <c r="L17" i="2"/>
  <c r="L16" i="2"/>
  <c r="L15" i="2"/>
  <c r="L14" i="2"/>
  <c r="J131" i="2"/>
  <c r="J130" i="2"/>
  <c r="J129" i="2"/>
  <c r="J128" i="2"/>
  <c r="J125" i="2"/>
  <c r="J124" i="2"/>
  <c r="J123" i="2"/>
  <c r="J122" i="2"/>
  <c r="J117" i="2"/>
  <c r="J116" i="2"/>
  <c r="J115" i="2"/>
  <c r="J114" i="2"/>
  <c r="J111" i="2"/>
  <c r="J110" i="2"/>
  <c r="J109" i="2"/>
  <c r="J108" i="2"/>
  <c r="J107" i="2"/>
  <c r="J106" i="2"/>
  <c r="J105" i="2"/>
  <c r="J104" i="2"/>
  <c r="J103" i="2"/>
  <c r="J102" i="2"/>
  <c r="J101" i="2"/>
  <c r="J99" i="2"/>
  <c r="J98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L131" i="2"/>
  <c r="L130" i="2"/>
  <c r="L125" i="2"/>
  <c r="L124" i="2"/>
  <c r="L123" i="2"/>
  <c r="L122" i="2"/>
  <c r="L117" i="2"/>
  <c r="L116" i="2"/>
  <c r="L115" i="2"/>
  <c r="L114" i="2"/>
  <c r="L111" i="2"/>
  <c r="L110" i="2"/>
  <c r="L109" i="2"/>
  <c r="L108" i="2"/>
  <c r="L107" i="2"/>
  <c r="L106" i="2"/>
  <c r="L105" i="2"/>
  <c r="L104" i="2"/>
  <c r="L103" i="2"/>
  <c r="L102" i="2"/>
  <c r="L101" i="2"/>
  <c r="L99" i="2"/>
  <c r="L98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H117" i="1"/>
  <c r="G117" i="1"/>
  <c r="L13" i="1"/>
  <c r="L12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3" i="1"/>
  <c r="J12" i="1"/>
  <c r="K63" i="1" l="1"/>
  <c r="K62" i="1"/>
  <c r="I92" i="1"/>
  <c r="I63" i="1"/>
  <c r="I62" i="1"/>
  <c r="H92" i="1"/>
  <c r="H63" i="1"/>
  <c r="H62" i="1"/>
  <c r="G92" i="1"/>
  <c r="G63" i="1"/>
  <c r="G62" i="1"/>
  <c r="F64" i="1"/>
  <c r="F63" i="1"/>
  <c r="F62" i="1"/>
  <c r="E64" i="1"/>
  <c r="E92" i="1" s="1"/>
  <c r="E63" i="1"/>
  <c r="E62" i="1"/>
  <c r="D64" i="1"/>
  <c r="D92" i="1" s="1"/>
  <c r="D63" i="1"/>
  <c r="D62" i="1"/>
  <c r="J63" i="1" l="1"/>
  <c r="J62" i="1"/>
  <c r="L62" i="1"/>
  <c r="L63" i="1"/>
  <c r="F92" i="1"/>
  <c r="J64" i="1"/>
  <c r="L64" i="1"/>
  <c r="K41" i="1"/>
  <c r="K40" i="1"/>
  <c r="I41" i="1"/>
  <c r="I40" i="1"/>
  <c r="I91" i="1" s="1"/>
  <c r="H41" i="1"/>
  <c r="H40" i="1"/>
  <c r="H91" i="1" s="1"/>
  <c r="G41" i="1"/>
  <c r="G40" i="1"/>
  <c r="G91" i="1" s="1"/>
  <c r="F41" i="1"/>
  <c r="F40" i="1"/>
  <c r="E41" i="1"/>
  <c r="E40" i="1"/>
  <c r="E91" i="1" s="1"/>
  <c r="D41" i="1"/>
  <c r="D40" i="1"/>
  <c r="D91" i="1" s="1"/>
  <c r="J41" i="1" l="1"/>
  <c r="J40" i="1"/>
  <c r="L41" i="1"/>
  <c r="L40" i="1"/>
  <c r="F91" i="1"/>
  <c r="K5" i="2"/>
  <c r="K4" i="2"/>
  <c r="K3" i="2"/>
  <c r="L2" i="2"/>
  <c r="K42" i="1" l="1"/>
  <c r="I42" i="1"/>
  <c r="H42" i="1"/>
  <c r="G42" i="1"/>
  <c r="F42" i="1"/>
  <c r="E42" i="1"/>
  <c r="D42" i="1"/>
  <c r="J42" i="1" l="1"/>
  <c r="L42" i="1"/>
  <c r="I11" i="1"/>
  <c r="H11" i="1"/>
  <c r="G11" i="1"/>
  <c r="F11" i="1"/>
  <c r="E11" i="1"/>
  <c r="D11" i="1"/>
  <c r="J11" i="1" l="1"/>
  <c r="F65" i="1"/>
  <c r="K56" i="2"/>
  <c r="I56" i="2"/>
  <c r="H56" i="2"/>
  <c r="G138" i="2"/>
  <c r="G70" i="8" s="1"/>
  <c r="G69" i="8" s="1"/>
  <c r="K65" i="1"/>
  <c r="K85" i="1" s="1"/>
  <c r="I65" i="1"/>
  <c r="I85" i="1" s="1"/>
  <c r="H65" i="1"/>
  <c r="H85" i="1" s="1"/>
  <c r="G65" i="1"/>
  <c r="G85" i="1" s="1"/>
  <c r="E65" i="1"/>
  <c r="E85" i="1" s="1"/>
  <c r="D65" i="1"/>
  <c r="D85" i="1" s="1"/>
  <c r="G68" i="8" l="1"/>
  <c r="J138" i="2"/>
  <c r="J70" i="8" s="1"/>
  <c r="J69" i="8" s="1"/>
  <c r="I138" i="2"/>
  <c r="I70" i="8" s="1"/>
  <c r="H138" i="2"/>
  <c r="H70" i="8" s="1"/>
  <c r="L65" i="1"/>
  <c r="F85" i="1"/>
  <c r="J85" i="1" s="1"/>
  <c r="J65" i="1"/>
  <c r="F56" i="2"/>
  <c r="F138" i="2" s="1"/>
  <c r="J132" i="2"/>
  <c r="G86" i="8" l="1"/>
  <c r="G87" i="8"/>
  <c r="I69" i="8"/>
  <c r="I68" i="8" s="1"/>
  <c r="H69" i="8"/>
  <c r="H68" i="8" s="1"/>
  <c r="J68" i="8"/>
  <c r="F70" i="8"/>
  <c r="F69" i="8" s="1"/>
  <c r="G85" i="8"/>
  <c r="J56" i="2"/>
  <c r="L85" i="1"/>
  <c r="L56" i="2"/>
  <c r="L132" i="2"/>
  <c r="D56" i="2"/>
  <c r="D138" i="2" s="1"/>
  <c r="E56" i="2"/>
  <c r="E138" i="2" s="1"/>
  <c r="K27" i="1"/>
  <c r="K19" i="1"/>
  <c r="I27" i="1"/>
  <c r="H27" i="1"/>
  <c r="G27" i="1"/>
  <c r="F27" i="1"/>
  <c r="E27" i="1"/>
  <c r="D27" i="1"/>
  <c r="I19" i="1"/>
  <c r="H19" i="1"/>
  <c r="G19" i="1"/>
  <c r="F19" i="1"/>
  <c r="E19" i="1"/>
  <c r="D19" i="1"/>
  <c r="K11" i="1"/>
  <c r="L11" i="1" s="1"/>
  <c r="J27" i="1" l="1"/>
  <c r="L19" i="1"/>
  <c r="J86" i="8"/>
  <c r="J87" i="8"/>
  <c r="I86" i="8"/>
  <c r="I87" i="8"/>
  <c r="H87" i="8"/>
  <c r="H86" i="8"/>
  <c r="I85" i="8"/>
  <c r="F68" i="8"/>
  <c r="F18" i="8" s="1"/>
  <c r="F47" i="8" s="1"/>
  <c r="H85" i="8"/>
  <c r="J85" i="8"/>
  <c r="J18" i="8"/>
  <c r="J19" i="1"/>
  <c r="L27" i="1"/>
  <c r="H53" i="8" l="1"/>
  <c r="F87" i="8"/>
  <c r="J96" i="8"/>
  <c r="H41" i="8"/>
  <c r="H44" i="8" s="1"/>
  <c r="F85" i="8"/>
  <c r="F86" i="8"/>
  <c r="F41" i="8" s="1"/>
  <c r="F59" i="8"/>
  <c r="H59" i="8"/>
  <c r="H47" i="8"/>
  <c r="F53" i="8" l="1"/>
  <c r="F96" i="8"/>
  <c r="F12" i="8" s="1"/>
  <c r="F13" i="8" s="1"/>
  <c r="H42" i="8"/>
  <c r="H43" i="8"/>
  <c r="J12" i="8"/>
  <c r="H54" i="8"/>
  <c r="H56" i="8"/>
  <c r="H55" i="8"/>
  <c r="J26" i="8"/>
  <c r="H61" i="8"/>
  <c r="J59" i="8" s="1"/>
  <c r="H49" i="8"/>
  <c r="J41" i="8" s="1"/>
  <c r="F54" i="8" l="1"/>
  <c r="F49" i="8"/>
  <c r="I47" i="8" s="1"/>
  <c r="F26" i="8"/>
  <c r="F35" i="8" s="1"/>
  <c r="F34" i="8" s="1"/>
  <c r="J17" i="8"/>
  <c r="J20" i="8"/>
  <c r="J22" i="8"/>
  <c r="J13" i="8"/>
  <c r="F17" i="8"/>
  <c r="F22" i="8"/>
  <c r="F20" i="8"/>
  <c r="J42" i="8"/>
  <c r="J44" i="8"/>
  <c r="J54" i="8"/>
  <c r="J55" i="8"/>
  <c r="J56" i="8"/>
  <c r="J47" i="8"/>
  <c r="J48" i="8"/>
  <c r="J50" i="8"/>
  <c r="J46" i="8"/>
  <c r="H51" i="8"/>
  <c r="J51" i="8" s="1"/>
  <c r="J45" i="8"/>
  <c r="J49" i="8"/>
  <c r="J43" i="8"/>
  <c r="J53" i="8"/>
  <c r="J58" i="8"/>
  <c r="J57" i="8"/>
  <c r="H63" i="8"/>
  <c r="J63" i="8" s="1"/>
  <c r="J60" i="8"/>
  <c r="J61" i="8"/>
  <c r="J62" i="8"/>
  <c r="J33" i="8"/>
  <c r="J28" i="8"/>
  <c r="J35" i="8"/>
  <c r="J34" i="8" s="1"/>
  <c r="J29" i="8"/>
  <c r="J36" i="8"/>
  <c r="J32" i="8"/>
  <c r="J31" i="8" s="1"/>
  <c r="F56" i="8" l="1"/>
  <c r="F55" i="8"/>
  <c r="I45" i="8"/>
  <c r="I46" i="8"/>
  <c r="I48" i="8"/>
  <c r="I49" i="8"/>
  <c r="I41" i="8"/>
  <c r="F42" i="8"/>
  <c r="I42" i="8" s="1"/>
  <c r="I50" i="8"/>
  <c r="F51" i="8"/>
  <c r="I51" i="8" s="1"/>
  <c r="F43" i="8"/>
  <c r="I43" i="8" s="1"/>
  <c r="F44" i="8"/>
  <c r="I44" i="8" s="1"/>
  <c r="F61" i="8"/>
  <c r="F63" i="8" s="1"/>
  <c r="I63" i="8" s="1"/>
  <c r="F29" i="8"/>
  <c r="F27" i="8" s="1"/>
  <c r="F28" i="8"/>
  <c r="F36" i="8"/>
  <c r="F33" i="8"/>
  <c r="F32" i="8"/>
  <c r="F31" i="8" s="1"/>
  <c r="J30" i="8"/>
  <c r="J27" i="8"/>
  <c r="I60" i="8" l="1"/>
  <c r="I59" i="8"/>
  <c r="I55" i="8"/>
  <c r="I58" i="8"/>
  <c r="I53" i="8"/>
  <c r="I57" i="8"/>
  <c r="I54" i="8"/>
  <c r="I62" i="8"/>
  <c r="I56" i="8"/>
  <c r="I61" i="8"/>
  <c r="F30" i="8"/>
</calcChain>
</file>

<file path=xl/sharedStrings.xml><?xml version="1.0" encoding="utf-8"?>
<sst xmlns="http://schemas.openxmlformats.org/spreadsheetml/2006/main" count="662" uniqueCount="312">
  <si>
    <t>１．被保険者数（年度別）</t>
    <rPh sb="2" eb="6">
      <t>ヒホケンシャ</t>
    </rPh>
    <rPh sb="6" eb="7">
      <t>スウ</t>
    </rPh>
    <rPh sb="8" eb="10">
      <t>ネンド</t>
    </rPh>
    <rPh sb="10" eb="11">
      <t>ベツ</t>
    </rPh>
    <phoneticPr fontId="4"/>
  </si>
  <si>
    <t>単位：人</t>
    <rPh sb="0" eb="2">
      <t>タンイ</t>
    </rPh>
    <rPh sb="3" eb="4">
      <t>ニン</t>
    </rPh>
    <phoneticPr fontId="4"/>
  </si>
  <si>
    <t>平成29年度</t>
    <rPh sb="0" eb="2">
      <t>ヘイセイ</t>
    </rPh>
    <rPh sb="4" eb="6">
      <t>ネンド</t>
    </rPh>
    <phoneticPr fontId="9"/>
  </si>
  <si>
    <t>平成32年度</t>
    <rPh sb="0" eb="2">
      <t>ヘイセイ</t>
    </rPh>
    <rPh sb="4" eb="6">
      <t>ネンド</t>
    </rPh>
    <phoneticPr fontId="9"/>
  </si>
  <si>
    <t>総数</t>
    <rPh sb="0" eb="2">
      <t>ソウスウ</t>
    </rPh>
    <phoneticPr fontId="9"/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</si>
  <si>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9"/>
  </si>
  <si>
    <t>第2号被保険者数</t>
    <rPh sb="0" eb="1">
      <t>ダイ</t>
    </rPh>
    <rPh sb="2" eb="3">
      <t>ゴウ</t>
    </rPh>
    <rPh sb="3" eb="7">
      <t>ヒホケンシャ</t>
    </rPh>
    <rPh sb="7" eb="8">
      <t>スウ</t>
    </rPh>
    <phoneticPr fontId="9"/>
  </si>
  <si>
    <t>２．要介護（支援）認定者数</t>
    <rPh sb="2" eb="5">
      <t>ヨウカイゴ</t>
    </rPh>
    <rPh sb="6" eb="8">
      <t>シエン</t>
    </rPh>
    <rPh sb="9" eb="11">
      <t>ニンテイ</t>
    </rPh>
    <rPh sb="11" eb="12">
      <t>シャ</t>
    </rPh>
    <rPh sb="12" eb="13">
      <t>スウ</t>
    </rPh>
    <phoneticPr fontId="4"/>
  </si>
  <si>
    <t>総数</t>
    <rPh sb="0" eb="2">
      <t>ソウスウ</t>
    </rPh>
    <phoneticPr fontId="4"/>
  </si>
  <si>
    <t>要支援1</t>
    <rPh sb="0" eb="3">
      <t>ヨウシエン</t>
    </rPh>
    <phoneticPr fontId="9"/>
  </si>
  <si>
    <t>要支援2</t>
    <rPh sb="0" eb="3">
      <t>ヨウシエン</t>
    </rPh>
    <phoneticPr fontId="9"/>
  </si>
  <si>
    <t>要介護1</t>
    <rPh sb="0" eb="3">
      <t>ヨウカイゴ</t>
    </rPh>
    <phoneticPr fontId="9"/>
  </si>
  <si>
    <t>要介護2</t>
    <rPh sb="0" eb="3">
      <t>ヨウカイゴ</t>
    </rPh>
    <phoneticPr fontId="9"/>
  </si>
  <si>
    <t>要介護3</t>
    <rPh sb="0" eb="3">
      <t>ヨウカイゴ</t>
    </rPh>
    <phoneticPr fontId="9"/>
  </si>
  <si>
    <t>要介護4</t>
    <rPh sb="0" eb="3">
      <t>ヨウカイゴ</t>
    </rPh>
    <phoneticPr fontId="9"/>
  </si>
  <si>
    <t>要介護5</t>
    <rPh sb="0" eb="3">
      <t>ヨウカイゴ</t>
    </rPh>
    <phoneticPr fontId="9"/>
  </si>
  <si>
    <t>うち第1号被保険者数</t>
    <rPh sb="2" eb="3">
      <t>ダイ</t>
    </rPh>
    <rPh sb="4" eb="5">
      <t>ゴウ</t>
    </rPh>
    <rPh sb="5" eb="9">
      <t>ヒホケンシャ</t>
    </rPh>
    <rPh sb="9" eb="10">
      <t>スウ</t>
    </rPh>
    <phoneticPr fontId="9"/>
  </si>
  <si>
    <t>３．介護予防サービス見込量</t>
    <rPh sb="2" eb="4">
      <t>カイゴ</t>
    </rPh>
    <rPh sb="4" eb="6">
      <t>ヨボウ</t>
    </rPh>
    <rPh sb="10" eb="12">
      <t>ミコミ</t>
    </rPh>
    <rPh sb="12" eb="13">
      <t>リョウ</t>
    </rPh>
    <phoneticPr fontId="4"/>
  </si>
  <si>
    <t>（１）介護予防サービス</t>
    <rPh sb="3" eb="5">
      <t>カイゴ</t>
    </rPh>
    <rPh sb="5" eb="7">
      <t>ヨボウ</t>
    </rPh>
    <phoneticPr fontId="9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</si>
  <si>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9"/>
  </si>
  <si>
    <t>給付費（千円）</t>
    <rPh sb="0" eb="2">
      <t>キュウフ</t>
    </rPh>
    <rPh sb="2" eb="3">
      <t>ヒ</t>
    </rPh>
    <phoneticPr fontId="9"/>
  </si>
  <si>
    <t>人数（人）</t>
    <rPh sb="0" eb="2">
      <t>ニンズ</t>
    </rPh>
    <rPh sb="3" eb="4">
      <t>ニン</t>
    </rPh>
    <phoneticPr fontId="9"/>
  </si>
  <si>
    <t>介護予防訪問入浴介護</t>
    <rPh sb="4" eb="6">
      <t>ホウモン</t>
    </rPh>
    <rPh sb="6" eb="8">
      <t>ニュウヨク</t>
    </rPh>
    <rPh sb="8" eb="10">
      <t>カイゴ</t>
    </rPh>
    <phoneticPr fontId="9"/>
  </si>
  <si>
    <t>回数（回）</t>
    <rPh sb="0" eb="2">
      <t>カイスウ</t>
    </rPh>
    <rPh sb="3" eb="4">
      <t>カイ</t>
    </rPh>
    <phoneticPr fontId="9"/>
  </si>
  <si>
    <t>介護予防訪問看護</t>
    <rPh sb="4" eb="6">
      <t>ホウモン</t>
    </rPh>
    <rPh sb="6" eb="8">
      <t>カンゴ</t>
    </rPh>
    <phoneticPr fontId="9"/>
  </si>
  <si>
    <t>介護予防訪問リハビリテーション</t>
    <rPh sb="4" eb="6">
      <t>ホウモン</t>
    </rPh>
    <phoneticPr fontId="9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</si>
  <si>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9"/>
  </si>
  <si>
    <t>介護予防通所介護</t>
    <rPh sb="4" eb="6">
      <t>ツウショ</t>
    </rPh>
    <rPh sb="6" eb="8">
      <t>カイゴ</t>
    </rPh>
    <phoneticPr fontId="9"/>
  </si>
  <si>
    <t>介護予防通所リハビリテーション</t>
    <rPh sb="4" eb="6">
      <t>ツウショ</t>
    </rPh>
    <phoneticPr fontId="9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</si>
  <si>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9"/>
  </si>
  <si>
    <t>日数（日）</t>
    <rPh sb="0" eb="2">
      <t>ニッスウ</t>
    </rPh>
    <rPh sb="3" eb="4">
      <t>ニチ</t>
    </rPh>
    <phoneticPr fontId="9"/>
  </si>
  <si>
    <t>介護予防短期入所療養介護（老健）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phoneticPr fontId="9"/>
  </si>
  <si>
    <t>介護予防短期入所療養介護（病院等）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9"/>
  </si>
  <si>
    <t>介護予防福祉用具貸与</t>
    <rPh sb="4" eb="6">
      <t>フクシ</t>
    </rPh>
    <rPh sb="6" eb="8">
      <t>ヨウグ</t>
    </rPh>
    <rPh sb="8" eb="10">
      <t>タイヨ</t>
    </rPh>
    <phoneticPr fontId="9"/>
  </si>
  <si>
    <t>特定介護予防福祉用具購入費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3">
      <t>コウニュウヒ</t>
    </rPh>
    <phoneticPr fontId="9"/>
  </si>
  <si>
    <t>介護予防住宅改修</t>
    <rPh sb="4" eb="6">
      <t>ジュウタク</t>
    </rPh>
    <rPh sb="6" eb="8">
      <t>カイシュウ</t>
    </rPh>
    <phoneticPr fontId="9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</si>
  <si>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9"/>
  </si>
  <si>
    <t>（２）地域密着型介護予防サービス</t>
    <rPh sb="3" eb="5">
      <t>チイキ</t>
    </rPh>
    <rPh sb="5" eb="8">
      <t>ミッチャクガタ</t>
    </rPh>
    <rPh sb="8" eb="10">
      <t>カイゴ</t>
    </rPh>
    <rPh sb="10" eb="12">
      <t>ヨボウ</t>
    </rPh>
    <phoneticPr fontId="9"/>
  </si>
  <si>
    <t>介護予防認知症対応型通所介護</t>
    <rPh sb="4" eb="6">
      <t>ニンチ</t>
    </rPh>
    <rPh sb="6" eb="7">
      <t>ショウ</t>
    </rPh>
    <rPh sb="7" eb="10">
      <t>タイオウガタ</t>
    </rPh>
    <rPh sb="10" eb="11">
      <t>ツウ</t>
    </rPh>
    <rPh sb="11" eb="12">
      <t>ショ</t>
    </rPh>
    <rPh sb="12" eb="14">
      <t>カイゴ</t>
    </rPh>
    <phoneticPr fontId="9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</si>
  <si>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9"/>
  </si>
  <si>
    <t>介護予防認知症対応型共同生活介護</t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9"/>
  </si>
  <si>
    <t>合計</t>
    <rPh sb="0" eb="2">
      <t>ゴウケイ</t>
    </rPh>
    <phoneticPr fontId="9"/>
  </si>
  <si>
    <t>４．介護サービス見込量</t>
    <rPh sb="2" eb="4">
      <t>カイゴ</t>
    </rPh>
    <rPh sb="8" eb="10">
      <t>ミコミ</t>
    </rPh>
    <rPh sb="10" eb="11">
      <t>リョウ</t>
    </rPh>
    <phoneticPr fontId="4"/>
  </si>
  <si>
    <t>（１）居宅サービス</t>
    <rPh sb="3" eb="5">
      <t>キョタク</t>
    </rPh>
    <phoneticPr fontId="9"/>
  </si>
  <si>
    <t>訪問介護</t>
    <rPh sb="0" eb="2">
      <t>ホウモン</t>
    </rPh>
    <rPh sb="2" eb="4">
      <t>カイゴ</t>
    </rPh>
    <phoneticPr fontId="9"/>
  </si>
  <si>
    <t>訪問入浴介護</t>
    <rPh sb="0" eb="2">
      <t>ホウモン</t>
    </rPh>
    <rPh sb="2" eb="4">
      <t>ニュウヨク</t>
    </rPh>
    <rPh sb="4" eb="6">
      <t>カイゴ</t>
    </rPh>
    <phoneticPr fontId="9"/>
  </si>
  <si>
    <t>訪問看護</t>
    <rPh sb="0" eb="2">
      <t>ホウモン</t>
    </rPh>
    <rPh sb="2" eb="4">
      <t>カンゴ</t>
    </rPh>
    <phoneticPr fontId="9"/>
  </si>
  <si>
    <t>訪問リハビリテーション</t>
    <rPh sb="0" eb="2">
      <t>ホウモン</t>
    </rPh>
    <phoneticPr fontId="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</si>
  <si>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9"/>
  </si>
  <si>
    <t>通所介護</t>
    <rPh sb="0" eb="2">
      <t>ツウショ</t>
    </rPh>
    <rPh sb="2" eb="4">
      <t>カイゴ</t>
    </rPh>
    <phoneticPr fontId="9"/>
  </si>
  <si>
    <t>通所リハビリテーション</t>
    <rPh sb="0" eb="2">
      <t>ツウショ</t>
    </rPh>
    <phoneticPr fontId="9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</si>
  <si>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9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</si>
  <si>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ロウケン</t>
    </rPh>
    <phoneticPr fontId="9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</si>
  <si>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9"/>
  </si>
  <si>
    <t>福祉用具貸与</t>
    <rPh sb="0" eb="2">
      <t>フクシ</t>
    </rPh>
    <rPh sb="2" eb="4">
      <t>ヨウグ</t>
    </rPh>
    <rPh sb="4" eb="6">
      <t>タイヨ</t>
    </rPh>
    <phoneticPr fontId="9"/>
  </si>
  <si>
    <t>特定福祉用具購入費</t>
    <rPh sb="0" eb="2">
      <t>トクテイ</t>
    </rPh>
    <rPh sb="2" eb="4">
      <t>フクシ</t>
    </rPh>
    <rPh sb="4" eb="6">
      <t>ヨウグ</t>
    </rPh>
    <rPh sb="6" eb="9">
      <t>コウニュウヒ</t>
    </rPh>
    <phoneticPr fontId="9"/>
  </si>
  <si>
    <t>住宅改修費</t>
    <rPh sb="0" eb="2">
      <t>ジュウタク</t>
    </rPh>
    <rPh sb="2" eb="5">
      <t>カイシュウヒ</t>
    </rPh>
    <phoneticPr fontId="9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</si>
  <si>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9"/>
  </si>
  <si>
    <t>（２）地域密着型サービス</t>
    <rPh sb="3" eb="5">
      <t>チイキ</t>
    </rPh>
    <rPh sb="5" eb="8">
      <t>ミッチャクガタ</t>
    </rPh>
    <phoneticPr fontId="9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</si>
  <si>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9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</si>
  <si>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9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</si>
  <si>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</si>
  <si>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9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</si>
  <si>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9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</si>
  <si>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9"/>
  </si>
  <si>
    <t>地域密着型介護老人福祉施設入所者生活介護</t>
  </si>
  <si>
    <t>（３）施設サービス</t>
    <rPh sb="3" eb="5">
      <t>シセツ</t>
    </rPh>
    <phoneticPr fontId="9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</si>
  <si>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9"/>
  </si>
  <si>
    <t>単位：千円</t>
    <rPh sb="3" eb="4">
      <t>セン</t>
    </rPh>
    <phoneticPr fontId="4"/>
  </si>
  <si>
    <t>総給付費</t>
    <rPh sb="0" eb="1">
      <t>ソウ</t>
    </rPh>
    <rPh sb="1" eb="3">
      <t>キュウフ</t>
    </rPh>
    <rPh sb="3" eb="4">
      <t>ヒ</t>
    </rPh>
    <phoneticPr fontId="9"/>
  </si>
  <si>
    <t>介護老人保健施設</t>
  </si>
  <si>
    <t>（４）居宅介護支援</t>
  </si>
  <si>
    <t>平成30年度</t>
    <rPh sb="0" eb="2">
      <t>ヘイセイ</t>
    </rPh>
    <rPh sb="4" eb="6">
      <t>ネンド</t>
    </rPh>
    <phoneticPr fontId="9"/>
  </si>
  <si>
    <t>平成31年度</t>
    <rPh sb="0" eb="2">
      <t>ヘイセイ</t>
    </rPh>
    <rPh sb="4" eb="6">
      <t>ネンド</t>
    </rPh>
    <phoneticPr fontId="9"/>
  </si>
  <si>
    <t>保険者名</t>
    <rPh sb="0" eb="3">
      <t>ホケンシャ</t>
    </rPh>
    <rPh sb="3" eb="4">
      <t>メイ</t>
    </rPh>
    <phoneticPr fontId="4"/>
  </si>
  <si>
    <t>保険者番号</t>
    <rPh sb="0" eb="3">
      <t>ホケンシャ</t>
    </rPh>
    <rPh sb="3" eb="5">
      <t>バンゴウ</t>
    </rPh>
    <phoneticPr fontId="4"/>
  </si>
  <si>
    <t>単位：千円</t>
    <rPh sb="0" eb="2">
      <t>タンイ</t>
    </rPh>
    <phoneticPr fontId="4"/>
  </si>
  <si>
    <t>在宅サービス</t>
    <rPh sb="0" eb="2">
      <t>ザイタク</t>
    </rPh>
    <phoneticPr fontId="9"/>
  </si>
  <si>
    <t>施設サービス</t>
    <rPh sb="0" eb="2">
      <t>シセツ</t>
    </rPh>
    <phoneticPr fontId="9"/>
  </si>
  <si>
    <t>（１）推計値サマリ</t>
    <rPh sb="3" eb="6">
      <t>スイケイチ</t>
    </rPh>
    <phoneticPr fontId="4"/>
  </si>
  <si>
    <t>（２）サービス別給付費</t>
    <rPh sb="7" eb="8">
      <t>ベツ</t>
    </rPh>
    <rPh sb="8" eb="10">
      <t>キュウフ</t>
    </rPh>
    <rPh sb="10" eb="11">
      <t>ヒ</t>
    </rPh>
    <phoneticPr fontId="4"/>
  </si>
  <si>
    <t>第6期</t>
    <rPh sb="0" eb="1">
      <t>ダイ</t>
    </rPh>
    <rPh sb="2" eb="3">
      <t>キ</t>
    </rPh>
    <phoneticPr fontId="4"/>
  </si>
  <si>
    <t>第7期</t>
    <rPh sb="0" eb="1">
      <t>ダイ</t>
    </rPh>
    <rPh sb="2" eb="3">
      <t>キ</t>
    </rPh>
    <phoneticPr fontId="9"/>
  </si>
  <si>
    <t>（１）在宅サービス</t>
    <rPh sb="3" eb="5">
      <t>ザイタク</t>
    </rPh>
    <phoneticPr fontId="4"/>
  </si>
  <si>
    <t>（２）居住系サービス</t>
    <rPh sb="3" eb="5">
      <t>キョジュウ</t>
    </rPh>
    <rPh sb="5" eb="6">
      <t>ケイ</t>
    </rPh>
    <phoneticPr fontId="9"/>
  </si>
  <si>
    <t>（２）居住系サービス</t>
    <rPh sb="5" eb="6">
      <t>ケイ</t>
    </rPh>
    <phoneticPr fontId="4"/>
  </si>
  <si>
    <t>平成37年度</t>
    <rPh sb="0" eb="2">
      <t>ヘイセイ</t>
    </rPh>
    <rPh sb="4" eb="5">
      <t>ネン</t>
    </rPh>
    <rPh sb="5" eb="6">
      <t>ド</t>
    </rPh>
    <phoneticPr fontId="4"/>
  </si>
  <si>
    <t>保険料基準額（月額）</t>
    <rPh sb="0" eb="3">
      <t>ホケンリョウ</t>
    </rPh>
    <rPh sb="3" eb="5">
      <t>キジュン</t>
    </rPh>
    <rPh sb="5" eb="6">
      <t>ガク</t>
    </rPh>
    <rPh sb="7" eb="9">
      <t>ゲツガク</t>
    </rPh>
    <phoneticPr fontId="9"/>
  </si>
  <si>
    <t>金額</t>
    <rPh sb="0" eb="2">
      <t>キンガク</t>
    </rPh>
    <phoneticPr fontId="9"/>
  </si>
  <si>
    <t>居住系サービス</t>
    <rPh sb="0" eb="2">
      <t>キョジュウ</t>
    </rPh>
    <rPh sb="2" eb="3">
      <t>ケイ</t>
    </rPh>
    <phoneticPr fontId="9"/>
  </si>
  <si>
    <t>その他給付費</t>
    <rPh sb="2" eb="3">
      <t>タ</t>
    </rPh>
    <rPh sb="3" eb="5">
      <t>キュウフ</t>
    </rPh>
    <rPh sb="5" eb="6">
      <t>ヒ</t>
    </rPh>
    <phoneticPr fontId="9"/>
  </si>
  <si>
    <t>地域支援事業費</t>
    <rPh sb="0" eb="2">
      <t>チイキ</t>
    </rPh>
    <rPh sb="2" eb="4">
      <t>シエン</t>
    </rPh>
    <rPh sb="4" eb="7">
      <t>ジギョウヒ</t>
    </rPh>
    <phoneticPr fontId="9"/>
  </si>
  <si>
    <t>財政安定化基金（拠出金見込額＋償還金）</t>
    <rPh sb="0" eb="2">
      <t>ザイセイ</t>
    </rPh>
    <rPh sb="2" eb="5">
      <t>アンテイカ</t>
    </rPh>
    <rPh sb="5" eb="7">
      <t>キキン</t>
    </rPh>
    <rPh sb="8" eb="11">
      <t>キョシュツキン</t>
    </rPh>
    <rPh sb="11" eb="13">
      <t>ミコミ</t>
    </rPh>
    <rPh sb="13" eb="14">
      <t>ガク</t>
    </rPh>
    <rPh sb="15" eb="18">
      <t>ショウカンキン</t>
    </rPh>
    <phoneticPr fontId="9"/>
  </si>
  <si>
    <t>市町村特別給付費等</t>
    <rPh sb="0" eb="3">
      <t>シチョウソン</t>
    </rPh>
    <rPh sb="3" eb="5">
      <t>トクベツ</t>
    </rPh>
    <rPh sb="5" eb="7">
      <t>キュウフ</t>
    </rPh>
    <rPh sb="7" eb="8">
      <t>ヒ</t>
    </rPh>
    <rPh sb="8" eb="9">
      <t>トウ</t>
    </rPh>
    <phoneticPr fontId="9"/>
  </si>
  <si>
    <t>保険料収納必要額（月額）</t>
    <rPh sb="0" eb="3">
      <t>ホケンリョウ</t>
    </rPh>
    <rPh sb="3" eb="5">
      <t>シュウノウ</t>
    </rPh>
    <rPh sb="5" eb="7">
      <t>ヒツヨウ</t>
    </rPh>
    <rPh sb="7" eb="8">
      <t>ガク</t>
    </rPh>
    <rPh sb="9" eb="11">
      <t>ゲツガク</t>
    </rPh>
    <phoneticPr fontId="9"/>
  </si>
  <si>
    <t>準備基金取崩額</t>
    <rPh sb="0" eb="2">
      <t>ジュンビ</t>
    </rPh>
    <rPh sb="2" eb="4">
      <t>キキン</t>
    </rPh>
    <rPh sb="4" eb="6">
      <t>トリクズシ</t>
    </rPh>
    <rPh sb="6" eb="7">
      <t>ガク</t>
    </rPh>
    <phoneticPr fontId="9"/>
  </si>
  <si>
    <t>単位：円</t>
    <phoneticPr fontId="4"/>
  </si>
  <si>
    <t>第7期</t>
    <rPh sb="0" eb="1">
      <t>ダイ</t>
    </rPh>
    <rPh sb="2" eb="3">
      <t>キ</t>
    </rPh>
    <phoneticPr fontId="4"/>
  </si>
  <si>
    <t>平成37年度</t>
    <rPh sb="0" eb="2">
      <t>ヘイセイ</t>
    </rPh>
    <rPh sb="4" eb="6">
      <t>ネンド</t>
    </rPh>
    <phoneticPr fontId="4"/>
  </si>
  <si>
    <t>１．介護予防サービス見込量</t>
    <rPh sb="2" eb="4">
      <t>カイゴ</t>
    </rPh>
    <rPh sb="4" eb="6">
      <t>ヨボウ</t>
    </rPh>
    <rPh sb="10" eb="12">
      <t>ミコミ</t>
    </rPh>
    <rPh sb="12" eb="13">
      <t>リョウ</t>
    </rPh>
    <phoneticPr fontId="4"/>
  </si>
  <si>
    <t>２．介護サービス見込量</t>
    <rPh sb="2" eb="4">
      <t>カイゴ</t>
    </rPh>
    <rPh sb="8" eb="10">
      <t>ミコミ</t>
    </rPh>
    <rPh sb="10" eb="11">
      <t>リョウ</t>
    </rPh>
    <phoneticPr fontId="4"/>
  </si>
  <si>
    <t>７．介護保険料基準額（月額）の内訳</t>
    <rPh sb="2" eb="4">
      <t>カイゴ</t>
    </rPh>
    <rPh sb="4" eb="7">
      <t>ホケンリョウ</t>
    </rPh>
    <rPh sb="7" eb="9">
      <t>キジュン</t>
    </rPh>
    <rPh sb="9" eb="10">
      <t>ガク</t>
    </rPh>
    <rPh sb="11" eb="13">
      <t>ゲツガク</t>
    </rPh>
    <rPh sb="15" eb="17">
      <t>ウチワケ</t>
    </rPh>
    <phoneticPr fontId="4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</si>
  <si>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9"/>
  </si>
  <si>
    <t>補足．在宅サービス・施設サービスのバランス（第1号被保険者1人あたりの給付月額）</t>
    <rPh sb="0" eb="2">
      <t>ホソク</t>
    </rPh>
    <rPh sb="3" eb="5">
      <t>ザイタク</t>
    </rPh>
    <rPh sb="10" eb="12">
      <t>シセツ</t>
    </rPh>
    <rPh sb="22" eb="23">
      <t>ダイ</t>
    </rPh>
    <rPh sb="24" eb="25">
      <t>ゴウ</t>
    </rPh>
    <rPh sb="25" eb="29">
      <t>ヒホケンジャ</t>
    </rPh>
    <rPh sb="30" eb="31">
      <t>ニン</t>
    </rPh>
    <rPh sb="35" eb="37">
      <t>キュウフ</t>
    </rPh>
    <rPh sb="37" eb="39">
      <t>ゲツガク</t>
    </rPh>
    <phoneticPr fontId="4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</si>
  <si>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</si>
  <si>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</si>
  <si>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</si>
  <si>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平成37年度</t>
    <rPh sb="0" eb="2">
      <t>ヘイセイ</t>
    </rPh>
    <phoneticPr fontId="9"/>
  </si>
  <si>
    <t>出力日：</t>
    <rPh sb="0" eb="2">
      <t>シュツリョク</t>
    </rPh>
    <rPh sb="2" eb="3">
      <t>ビ</t>
    </rPh>
    <phoneticPr fontId="9"/>
  </si>
  <si>
    <t>推計パターン名</t>
    <rPh sb="0" eb="2">
      <t>スイケイ</t>
    </rPh>
    <rPh sb="6" eb="7">
      <t>メイ</t>
    </rPh>
    <phoneticPr fontId="4"/>
  </si>
  <si>
    <r>
      <t xml:space="preserve">伸び率①
</t>
    </r>
    <r>
      <rPr>
        <sz val="8"/>
        <rFont val="ＭＳ Ｐゴシック"/>
        <family val="3"/>
        <charset val="128"/>
      </rPr>
      <t>※１</t>
    </r>
    <rPh sb="0" eb="1">
      <t>ノ</t>
    </rPh>
    <rPh sb="2" eb="3">
      <t>リツ</t>
    </rPh>
    <phoneticPr fontId="9"/>
  </si>
  <si>
    <r>
      <t xml:space="preserve">伸び率①
</t>
    </r>
    <r>
      <rPr>
        <sz val="8"/>
        <rFont val="ＭＳ Ｐゴシック"/>
        <family val="3"/>
        <charset val="128"/>
      </rPr>
      <t>※２</t>
    </r>
    <rPh sb="0" eb="1">
      <t>ノ</t>
    </rPh>
    <rPh sb="2" eb="3">
      <t>リツ</t>
    </rPh>
    <phoneticPr fontId="9"/>
  </si>
  <si>
    <t>５．総給付費　（３．＋４．）</t>
    <rPh sb="2" eb="3">
      <t>ソウ</t>
    </rPh>
    <rPh sb="3" eb="5">
      <t>キュウフ</t>
    </rPh>
    <rPh sb="5" eb="6">
      <t>ヒ</t>
    </rPh>
    <phoneticPr fontId="4"/>
  </si>
  <si>
    <t>※左記グラフでは、在宅サービスおよび施設サービスの第1号被保険者1人あたりの給付月額のバランスについて、平成27年度～平成32年度の時系列推移を確認できます。</t>
    <rPh sb="1" eb="3">
      <t>サキ</t>
    </rPh>
    <rPh sb="9" eb="11">
      <t>ザイタク</t>
    </rPh>
    <rPh sb="18" eb="20">
      <t>シセツ</t>
    </rPh>
    <rPh sb="25" eb="26">
      <t>ダイ</t>
    </rPh>
    <rPh sb="27" eb="28">
      <t>ゴウ</t>
    </rPh>
    <rPh sb="28" eb="32">
      <t>ヒホケンジャ</t>
    </rPh>
    <rPh sb="33" eb="34">
      <t>ヒト</t>
    </rPh>
    <rPh sb="38" eb="42">
      <t>キュウフゲツガク</t>
    </rPh>
    <rPh sb="52" eb="54">
      <t>ヘイセイ</t>
    </rPh>
    <rPh sb="56" eb="58">
      <t>ネンド</t>
    </rPh>
    <rPh sb="59" eb="61">
      <t>ヘイセイ</t>
    </rPh>
    <rPh sb="63" eb="65">
      <t>ネンド</t>
    </rPh>
    <rPh sb="66" eb="71">
      <t>ジケイレツスイイ</t>
    </rPh>
    <rPh sb="72" eb="74">
      <t>カクニン</t>
    </rPh>
    <phoneticPr fontId="9"/>
  </si>
  <si>
    <t>構成比(%)</t>
    <rPh sb="0" eb="3">
      <t>コウセイヒ</t>
    </rPh>
    <phoneticPr fontId="9"/>
  </si>
  <si>
    <t>単位：円</t>
    <phoneticPr fontId="4"/>
  </si>
  <si>
    <t>単位：各項目の（）内</t>
    <rPh sb="3" eb="6">
      <t>カクコウモク</t>
    </rPh>
    <rPh sb="9" eb="10">
      <t>ナイ</t>
    </rPh>
    <phoneticPr fontId="4"/>
  </si>
  <si>
    <t>※１：第7期平均値/平成29年度の値*100</t>
    <rPh sb="3" eb="4">
      <t>ダイ</t>
    </rPh>
    <rPh sb="5" eb="6">
      <t>キ</t>
    </rPh>
    <rPh sb="6" eb="9">
      <t>ヘイキンチ</t>
    </rPh>
    <rPh sb="10" eb="12">
      <t>ヘイセイ</t>
    </rPh>
    <rPh sb="14" eb="16">
      <t>ネンド</t>
    </rPh>
    <rPh sb="17" eb="18">
      <t>アタイ</t>
    </rPh>
    <phoneticPr fontId="9"/>
  </si>
  <si>
    <t>※２：平成37年度の値/平成29年度の値*100</t>
    <rPh sb="3" eb="5">
      <t>ヘイセイ</t>
    </rPh>
    <rPh sb="7" eb="9">
      <t>ネンド</t>
    </rPh>
    <rPh sb="10" eb="11">
      <t>アタイ</t>
    </rPh>
    <rPh sb="12" eb="14">
      <t>ヘイセイ</t>
    </rPh>
    <rPh sb="16" eb="18">
      <t>ネンド</t>
    </rPh>
    <rPh sb="19" eb="20">
      <t>アタイ</t>
    </rPh>
    <phoneticPr fontId="9"/>
  </si>
  <si>
    <t>保険料基準額の伸び率（％） （※当該保険料基準額/第6期保険料*100）</t>
    <rPh sb="16" eb="18">
      <t>トウガイ</t>
    </rPh>
    <rPh sb="18" eb="21">
      <t>ホケンリョウ</t>
    </rPh>
    <rPh sb="21" eb="24">
      <t>キジュンガク</t>
    </rPh>
    <rPh sb="25" eb="26">
      <t>ダイ</t>
    </rPh>
    <phoneticPr fontId="4"/>
  </si>
  <si>
    <t>６．介護保険料基準額（月額）</t>
    <rPh sb="2" eb="4">
      <t>カイゴ</t>
    </rPh>
    <rPh sb="4" eb="7">
      <t>ホケンリョウ</t>
    </rPh>
    <rPh sb="7" eb="9">
      <t>キジュン</t>
    </rPh>
    <rPh sb="9" eb="10">
      <t>ガク</t>
    </rPh>
    <rPh sb="11" eb="13">
      <t>ゲツガク</t>
    </rPh>
    <phoneticPr fontId="4"/>
  </si>
  <si>
    <t>※給付費は年間累計の金額、回（日）数は１月当たりの数、人数は１月当たりの利用者数。</t>
    <rPh sb="1" eb="4">
      <t>キュウフヒ</t>
    </rPh>
    <rPh sb="5" eb="7">
      <t>ネンカン</t>
    </rPh>
    <rPh sb="7" eb="9">
      <t>ルイケイ</t>
    </rPh>
    <rPh sb="10" eb="12">
      <t>キンガク</t>
    </rPh>
    <rPh sb="13" eb="14">
      <t>カイ</t>
    </rPh>
    <rPh sb="15" eb="16">
      <t>ヒ</t>
    </rPh>
    <rPh sb="17" eb="18">
      <t>スウ</t>
    </rPh>
    <rPh sb="20" eb="21">
      <t>ツキ</t>
    </rPh>
    <rPh sb="21" eb="22">
      <t>ア</t>
    </rPh>
    <rPh sb="25" eb="26">
      <t>カズ</t>
    </rPh>
    <rPh sb="27" eb="29">
      <t>ニンズウ</t>
    </rPh>
    <rPh sb="31" eb="33">
      <t>ツキア</t>
    </rPh>
    <rPh sb="36" eb="39">
      <t>リヨウシャ</t>
    </rPh>
    <rPh sb="39" eb="40">
      <t>スウ</t>
    </rPh>
    <phoneticPr fontId="1"/>
  </si>
  <si>
    <t>※給付費は年間累計の金額</t>
    <phoneticPr fontId="9"/>
  </si>
  <si>
    <t>（３）介護予防支援</t>
    <phoneticPr fontId="4"/>
  </si>
  <si>
    <t>保険料基準額（月額）</t>
    <rPh sb="0" eb="3">
      <t>ホケンリョウ</t>
    </rPh>
    <rPh sb="5" eb="6">
      <t>ガク</t>
    </rPh>
    <rPh sb="7" eb="9">
      <t>ゲツガク</t>
    </rPh>
    <phoneticPr fontId="9"/>
  </si>
  <si>
    <t>(参考)保険料の推計に要する係数</t>
    <rPh sb="1" eb="3">
      <t>サンコウ</t>
    </rPh>
    <phoneticPr fontId="4"/>
  </si>
  <si>
    <t>前期高齢者加入割合</t>
  </si>
  <si>
    <t>第1段階</t>
  </si>
  <si>
    <t>第2段階</t>
  </si>
  <si>
    <t>第3段階</t>
  </si>
  <si>
    <t>第4段階</t>
  </si>
  <si>
    <t>第5段階</t>
  </si>
  <si>
    <t>第6段階</t>
  </si>
  <si>
    <t>第7段階</t>
  </si>
  <si>
    <t>第8段階</t>
  </si>
  <si>
    <t>第9段階</t>
  </si>
  <si>
    <t>一定以上所得者の利用者負担の見直しに伴う財政影響補正係数</t>
    <rPh sb="0" eb="2">
      <t>イッテイ</t>
    </rPh>
    <rPh sb="2" eb="4">
      <t>イジョウ</t>
    </rPh>
    <rPh sb="4" eb="6">
      <t>ショトク</t>
    </rPh>
    <rPh sb="6" eb="7">
      <t>シャ</t>
    </rPh>
    <rPh sb="18" eb="19">
      <t>トモナ</t>
    </rPh>
    <rPh sb="20" eb="22">
      <t>ザイセイ</t>
    </rPh>
    <rPh sb="22" eb="24">
      <t>エイキョウ</t>
    </rPh>
    <rPh sb="24" eb="26">
      <t>ホセイ</t>
    </rPh>
    <rPh sb="26" eb="28">
      <t>ケイスウ</t>
    </rPh>
    <phoneticPr fontId="37"/>
  </si>
  <si>
    <t>補足給付の見直しに伴う財政影響補正係数</t>
    <rPh sb="0" eb="2">
      <t>ホソク</t>
    </rPh>
    <rPh sb="2" eb="4">
      <t>キュウフ</t>
    </rPh>
    <rPh sb="5" eb="7">
      <t>ミナオ</t>
    </rPh>
    <rPh sb="9" eb="10">
      <t>トモナ</t>
    </rPh>
    <rPh sb="11" eb="13">
      <t>ザイセイ</t>
    </rPh>
    <rPh sb="13" eb="15">
      <t>エイキョウ</t>
    </rPh>
    <rPh sb="15" eb="17">
      <t>ホセイ</t>
    </rPh>
    <rPh sb="17" eb="19">
      <t>ケイスウ</t>
    </rPh>
    <phoneticPr fontId="37"/>
  </si>
  <si>
    <t>国庫負担金等の算定の基準となる算定対象審査支払手数料単価（上限）（円）</t>
    <rPh sb="0" eb="2">
      <t>コッコ</t>
    </rPh>
    <rPh sb="2" eb="6">
      <t>フタンキントウ</t>
    </rPh>
    <rPh sb="7" eb="9">
      <t>サンテイ</t>
    </rPh>
    <rPh sb="10" eb="12">
      <t>キジュン</t>
    </rPh>
    <rPh sb="15" eb="17">
      <t>サンテイ</t>
    </rPh>
    <rPh sb="17" eb="19">
      <t>タイショウ</t>
    </rPh>
    <rPh sb="19" eb="21">
      <t>シンサ</t>
    </rPh>
    <rPh sb="21" eb="23">
      <t>シハライ</t>
    </rPh>
    <rPh sb="23" eb="26">
      <t>テスウリョウ</t>
    </rPh>
    <rPh sb="26" eb="28">
      <t>タンカ</t>
    </rPh>
    <rPh sb="29" eb="31">
      <t>ジョウゲン</t>
    </rPh>
    <rPh sb="33" eb="34">
      <t>エン</t>
    </rPh>
    <phoneticPr fontId="9"/>
  </si>
  <si>
    <t>１．６期保険料基準額</t>
    <rPh sb="3" eb="4">
      <t>キ</t>
    </rPh>
    <rPh sb="4" eb="7">
      <t>ホケンリョウ</t>
    </rPh>
    <rPh sb="7" eb="10">
      <t>キジュンガク</t>
    </rPh>
    <phoneticPr fontId="4"/>
  </si>
  <si>
    <t>第６期保険料の基準額（月額）</t>
    <rPh sb="0" eb="1">
      <t>ダイ</t>
    </rPh>
    <rPh sb="2" eb="3">
      <t>キ</t>
    </rPh>
    <rPh sb="3" eb="6">
      <t>ホケンリョウ</t>
    </rPh>
    <rPh sb="7" eb="9">
      <t>キジュン</t>
    </rPh>
    <rPh sb="9" eb="10">
      <t>ガク</t>
    </rPh>
    <rPh sb="11" eb="13">
      <t>ゲツガク</t>
    </rPh>
    <phoneticPr fontId="9"/>
  </si>
  <si>
    <t>２．保険料基準額の指標</t>
    <rPh sb="2" eb="5">
      <t>ホケンリョウ</t>
    </rPh>
    <rPh sb="5" eb="7">
      <t>キジュン</t>
    </rPh>
    <rPh sb="7" eb="8">
      <t>ガク</t>
    </rPh>
    <rPh sb="9" eb="11">
      <t>シヒョウ</t>
    </rPh>
    <phoneticPr fontId="4"/>
  </si>
  <si>
    <t>第７期</t>
    <rPh sb="0" eb="1">
      <t>ダイ</t>
    </rPh>
    <rPh sb="2" eb="3">
      <t>キ</t>
    </rPh>
    <phoneticPr fontId="4"/>
  </si>
  <si>
    <t>準備基金取崩額の影響額</t>
    <rPh sb="0" eb="2">
      <t>ジュンビ</t>
    </rPh>
    <rPh sb="2" eb="4">
      <t>キキン</t>
    </rPh>
    <rPh sb="4" eb="6">
      <t>トリクズシ</t>
    </rPh>
    <rPh sb="6" eb="7">
      <t>ガク</t>
    </rPh>
    <rPh sb="8" eb="11">
      <t>エイキョウガク</t>
    </rPh>
    <phoneticPr fontId="9"/>
  </si>
  <si>
    <t>準備基金の残高（前年度末の見込額）</t>
    <rPh sb="0" eb="2">
      <t>ジュンビ</t>
    </rPh>
    <rPh sb="2" eb="4">
      <t>キキン</t>
    </rPh>
    <rPh sb="5" eb="7">
      <t>ザンダカ</t>
    </rPh>
    <rPh sb="8" eb="9">
      <t>ゼン</t>
    </rPh>
    <rPh sb="9" eb="12">
      <t>ネンドマツ</t>
    </rPh>
    <rPh sb="13" eb="15">
      <t>ミコミ</t>
    </rPh>
    <rPh sb="15" eb="16">
      <t>ガク</t>
    </rPh>
    <phoneticPr fontId="9"/>
  </si>
  <si>
    <t>準備基金取崩額</t>
    <rPh sb="0" eb="2">
      <t>ジュンビ</t>
    </rPh>
    <rPh sb="2" eb="4">
      <t>キキン</t>
    </rPh>
    <rPh sb="4" eb="5">
      <t>ト</t>
    </rPh>
    <rPh sb="5" eb="6">
      <t>クズ</t>
    </rPh>
    <rPh sb="6" eb="7">
      <t>ガク</t>
    </rPh>
    <phoneticPr fontId="9"/>
  </si>
  <si>
    <t>準備基金取崩割合</t>
    <rPh sb="0" eb="2">
      <t>ジュンビ</t>
    </rPh>
    <rPh sb="2" eb="4">
      <t>キキン</t>
    </rPh>
    <rPh sb="4" eb="5">
      <t>ト</t>
    </rPh>
    <rPh sb="5" eb="6">
      <t>クズ</t>
    </rPh>
    <rPh sb="6" eb="8">
      <t>ワリアイ</t>
    </rPh>
    <phoneticPr fontId="9"/>
  </si>
  <si>
    <t>財政安定化基金拠出金見込額の影響額</t>
    <rPh sb="0" eb="2">
      <t>ザイセイ</t>
    </rPh>
    <rPh sb="2" eb="5">
      <t>アンテイカ</t>
    </rPh>
    <rPh sb="5" eb="7">
      <t>キキン</t>
    </rPh>
    <rPh sb="7" eb="10">
      <t>キョシュツキン</t>
    </rPh>
    <rPh sb="10" eb="12">
      <t>ミコ</t>
    </rPh>
    <rPh sb="12" eb="13">
      <t>ガク</t>
    </rPh>
    <rPh sb="14" eb="17">
      <t>エイキョウガク</t>
    </rPh>
    <phoneticPr fontId="9"/>
  </si>
  <si>
    <t>財政安定化基金拠出金見込額</t>
    <rPh sb="0" eb="2">
      <t>ザイセイ</t>
    </rPh>
    <rPh sb="2" eb="5">
      <t>アンテイカ</t>
    </rPh>
    <rPh sb="5" eb="7">
      <t>キキン</t>
    </rPh>
    <rPh sb="7" eb="10">
      <t>キョシュツキン</t>
    </rPh>
    <rPh sb="10" eb="12">
      <t>ミコミ</t>
    </rPh>
    <rPh sb="12" eb="13">
      <t>ガク</t>
    </rPh>
    <phoneticPr fontId="9"/>
  </si>
  <si>
    <t>財政安定化基金拠出率</t>
    <rPh sb="0" eb="2">
      <t>ザイセイ</t>
    </rPh>
    <rPh sb="2" eb="5">
      <t>アンテイカ</t>
    </rPh>
    <rPh sb="5" eb="7">
      <t>キキン</t>
    </rPh>
    <rPh sb="7" eb="9">
      <t>キョシュツ</t>
    </rPh>
    <rPh sb="9" eb="10">
      <t>リツ</t>
    </rPh>
    <phoneticPr fontId="4"/>
  </si>
  <si>
    <t>財政安定化基金償還金の影響額</t>
    <rPh sb="0" eb="2">
      <t>ザイセイ</t>
    </rPh>
    <rPh sb="2" eb="5">
      <t>アンテイカ</t>
    </rPh>
    <rPh sb="5" eb="7">
      <t>キキン</t>
    </rPh>
    <rPh sb="7" eb="10">
      <t>ショウカンキン</t>
    </rPh>
    <rPh sb="11" eb="14">
      <t>エイキョウガク</t>
    </rPh>
    <phoneticPr fontId="9"/>
  </si>
  <si>
    <t>財政安定化基金償還金</t>
    <rPh sb="0" eb="2">
      <t>ザイセイ</t>
    </rPh>
    <rPh sb="2" eb="5">
      <t>アンテイカ</t>
    </rPh>
    <rPh sb="5" eb="7">
      <t>キキン</t>
    </rPh>
    <rPh sb="7" eb="10">
      <t>ショウカンキン</t>
    </rPh>
    <phoneticPr fontId="9"/>
  </si>
  <si>
    <t>保険料基準額の伸び率（％） （対６期保険料）</t>
    <rPh sb="0" eb="3">
      <t>ホケンリョウ</t>
    </rPh>
    <rPh sb="3" eb="6">
      <t>キジュンガク</t>
    </rPh>
    <rPh sb="7" eb="8">
      <t>ノ</t>
    </rPh>
    <rPh sb="9" eb="10">
      <t>リツ</t>
    </rPh>
    <rPh sb="15" eb="16">
      <t>タイ</t>
    </rPh>
    <rPh sb="17" eb="18">
      <t>キ</t>
    </rPh>
    <rPh sb="18" eb="21">
      <t>ホケンリョウ</t>
    </rPh>
    <phoneticPr fontId="9"/>
  </si>
  <si>
    <t>３．保険料設定を弾力化した場合の保険料額の指標</t>
    <rPh sb="2" eb="5">
      <t>ホケンリョウ</t>
    </rPh>
    <rPh sb="5" eb="7">
      <t>セッテイ</t>
    </rPh>
    <rPh sb="8" eb="11">
      <t>ダンリョクカ</t>
    </rPh>
    <rPh sb="13" eb="15">
      <t>バアイ</t>
    </rPh>
    <rPh sb="16" eb="19">
      <t>ホケンリョウ</t>
    </rPh>
    <rPh sb="19" eb="20">
      <t>ガク</t>
    </rPh>
    <rPh sb="21" eb="23">
      <t>シヒョウ</t>
    </rPh>
    <phoneticPr fontId="4"/>
  </si>
  <si>
    <t>保険料基準額の伸び率（％） （対６期保険料）</t>
    <rPh sb="0" eb="3">
      <t>ホケンリョウ</t>
    </rPh>
    <rPh sb="3" eb="6">
      <t>キジュンガク</t>
    </rPh>
    <rPh sb="7" eb="8">
      <t>ノ</t>
    </rPh>
    <rPh sb="9" eb="10">
      <t>リツ</t>
    </rPh>
    <phoneticPr fontId="9"/>
  </si>
  <si>
    <t>４　介護保険料基準額（月額）の内訳</t>
    <rPh sb="2" eb="4">
      <t>カイゴ</t>
    </rPh>
    <rPh sb="4" eb="6">
      <t>ホケン</t>
    </rPh>
    <rPh sb="6" eb="7">
      <t>リョウ</t>
    </rPh>
    <rPh sb="7" eb="10">
      <t>キジュンガク</t>
    </rPh>
    <rPh sb="11" eb="12">
      <t>ガツ</t>
    </rPh>
    <rPh sb="12" eb="13">
      <t>ガク</t>
    </rPh>
    <rPh sb="15" eb="17">
      <t>ウチワケ</t>
    </rPh>
    <phoneticPr fontId="4"/>
  </si>
  <si>
    <t>構成比</t>
    <rPh sb="0" eb="3">
      <t>コウセイヒ</t>
    </rPh>
    <phoneticPr fontId="9"/>
  </si>
  <si>
    <t>平成37年度</t>
    <rPh sb="0" eb="2">
      <t>ヘイセイ</t>
    </rPh>
    <rPh sb="4" eb="5">
      <t>ネン</t>
    </rPh>
    <rPh sb="5" eb="6">
      <t>ド</t>
    </rPh>
    <phoneticPr fontId="9"/>
  </si>
  <si>
    <t>在宅サービス</t>
    <rPh sb="0" eb="2">
      <t>ザイタク</t>
    </rPh>
    <phoneticPr fontId="4"/>
  </si>
  <si>
    <t>居住系サービス</t>
    <rPh sb="0" eb="2">
      <t>キョジュウ</t>
    </rPh>
    <rPh sb="2" eb="3">
      <t>ケイ</t>
    </rPh>
    <phoneticPr fontId="4"/>
  </si>
  <si>
    <t>施設サービス</t>
    <rPh sb="0" eb="2">
      <t>シセツ</t>
    </rPh>
    <phoneticPr fontId="4"/>
  </si>
  <si>
    <t>基準保険料額（月額）</t>
    <rPh sb="0" eb="2">
      <t>キジュン</t>
    </rPh>
    <rPh sb="2" eb="5">
      <t>ホケンリョウ</t>
    </rPh>
    <rPh sb="5" eb="6">
      <t>ガク</t>
    </rPh>
    <rPh sb="7" eb="9">
      <t>ゲツガク</t>
    </rPh>
    <phoneticPr fontId="9"/>
  </si>
  <si>
    <t>（弾力化した場合）</t>
    <rPh sb="1" eb="4">
      <t>ダンリョクカ</t>
    </rPh>
    <rPh sb="6" eb="8">
      <t>バアイ</t>
    </rPh>
    <phoneticPr fontId="4"/>
  </si>
  <si>
    <t>５．保険料収納必要額関係</t>
    <rPh sb="2" eb="5">
      <t>ホケンリョウ</t>
    </rPh>
    <rPh sb="5" eb="7">
      <t>シュウノウ</t>
    </rPh>
    <rPh sb="7" eb="9">
      <t>ヒツヨウ</t>
    </rPh>
    <rPh sb="9" eb="10">
      <t>ガク</t>
    </rPh>
    <rPh sb="10" eb="12">
      <t>カンケイ</t>
    </rPh>
    <phoneticPr fontId="4"/>
  </si>
  <si>
    <t>合計</t>
    <rPh sb="0" eb="2">
      <t>ゴウケイ</t>
    </rPh>
    <phoneticPr fontId="4"/>
  </si>
  <si>
    <t>標準給付費見込額（A）</t>
    <rPh sb="0" eb="2">
      <t>ヒョウジュン</t>
    </rPh>
    <rPh sb="2" eb="5">
      <t>キュウフヒ</t>
    </rPh>
    <rPh sb="5" eb="8">
      <t>ミコミガク</t>
    </rPh>
    <phoneticPr fontId="9"/>
  </si>
  <si>
    <t>一定以上所得者の利用者負担の見直しに伴う財政影響額</t>
    <rPh sb="0" eb="2">
      <t>イッテイ</t>
    </rPh>
    <rPh sb="2" eb="4">
      <t>イジョウ</t>
    </rPh>
    <rPh sb="4" eb="6">
      <t>ショトク</t>
    </rPh>
    <rPh sb="6" eb="7">
      <t>シャ</t>
    </rPh>
    <rPh sb="8" eb="11">
      <t>リヨウシャ</t>
    </rPh>
    <rPh sb="11" eb="13">
      <t>フタン</t>
    </rPh>
    <rPh sb="24" eb="25">
      <t>ガク</t>
    </rPh>
    <phoneticPr fontId="4"/>
  </si>
  <si>
    <t>補足給付の見直しに伴う財政影響額</t>
    <rPh sb="13" eb="16">
      <t>エイキョウガク</t>
    </rPh>
    <phoneticPr fontId="4"/>
  </si>
  <si>
    <t>高額介護サービス費等給付額</t>
    <rPh sb="0" eb="2">
      <t>コウガク</t>
    </rPh>
    <rPh sb="2" eb="4">
      <t>カイゴ</t>
    </rPh>
    <rPh sb="8" eb="9">
      <t>ヒ</t>
    </rPh>
    <rPh sb="9" eb="10">
      <t>トウ</t>
    </rPh>
    <rPh sb="10" eb="13">
      <t>キュウフガク</t>
    </rPh>
    <phoneticPr fontId="9"/>
  </si>
  <si>
    <t>高額医療合算介護サービス費等給付額</t>
    <rPh sb="0" eb="2">
      <t>コウガク</t>
    </rPh>
    <rPh sb="2" eb="4">
      <t>イリョウ</t>
    </rPh>
    <rPh sb="4" eb="6">
      <t>ガッサン</t>
    </rPh>
    <rPh sb="6" eb="8">
      <t>カイゴ</t>
    </rPh>
    <rPh sb="12" eb="14">
      <t>ヒトウ</t>
    </rPh>
    <rPh sb="14" eb="16">
      <t>キュウフ</t>
    </rPh>
    <rPh sb="16" eb="17">
      <t>ガク</t>
    </rPh>
    <phoneticPr fontId="9"/>
  </si>
  <si>
    <t>算定対象審査支払手数料</t>
    <rPh sb="0" eb="2">
      <t>サンテイ</t>
    </rPh>
    <rPh sb="2" eb="4">
      <t>タイショウ</t>
    </rPh>
    <rPh sb="4" eb="6">
      <t>シンサ</t>
    </rPh>
    <rPh sb="6" eb="8">
      <t>シハライ</t>
    </rPh>
    <rPh sb="8" eb="11">
      <t>テスウリョウ</t>
    </rPh>
    <phoneticPr fontId="9"/>
  </si>
  <si>
    <t>審査支払手数料差引額（K）</t>
    <rPh sb="7" eb="9">
      <t>サシヒキ</t>
    </rPh>
    <rPh sb="9" eb="10">
      <t>ガク</t>
    </rPh>
    <phoneticPr fontId="4"/>
  </si>
  <si>
    <t>地域支援事業費（B)</t>
    <rPh sb="0" eb="2">
      <t>チイキ</t>
    </rPh>
    <rPh sb="2" eb="4">
      <t>シエン</t>
    </rPh>
    <rPh sb="4" eb="7">
      <t>ジギョウヒ</t>
    </rPh>
    <phoneticPr fontId="9"/>
  </si>
  <si>
    <t>介護予防・日常生活支援総合事業費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phoneticPr fontId="4"/>
  </si>
  <si>
    <t>包括的支援事業・任意事業費</t>
    <rPh sb="0" eb="3">
      <t>ホウカツテキ</t>
    </rPh>
    <rPh sb="3" eb="5">
      <t>シエン</t>
    </rPh>
    <rPh sb="5" eb="7">
      <t>ジギョウ</t>
    </rPh>
    <rPh sb="8" eb="10">
      <t>ニンイ</t>
    </rPh>
    <rPh sb="10" eb="13">
      <t>ジギョウヒ</t>
    </rPh>
    <phoneticPr fontId="4"/>
  </si>
  <si>
    <t>第1号被保険者負担分相当額（D）</t>
    <rPh sb="0" eb="1">
      <t>ダイ</t>
    </rPh>
    <rPh sb="2" eb="3">
      <t>ゴウ</t>
    </rPh>
    <rPh sb="3" eb="7">
      <t>ヒホケンシャ</t>
    </rPh>
    <rPh sb="7" eb="10">
      <t>フタンブン</t>
    </rPh>
    <rPh sb="10" eb="12">
      <t>ソウトウ</t>
    </rPh>
    <rPh sb="12" eb="13">
      <t>ガク</t>
    </rPh>
    <phoneticPr fontId="9"/>
  </si>
  <si>
    <t>調整交付金相当額（E）</t>
    <rPh sb="0" eb="2">
      <t>チョウセイ</t>
    </rPh>
    <rPh sb="2" eb="5">
      <t>コウフキン</t>
    </rPh>
    <rPh sb="5" eb="7">
      <t>ソウトウ</t>
    </rPh>
    <rPh sb="7" eb="8">
      <t>ガク</t>
    </rPh>
    <phoneticPr fontId="9"/>
  </si>
  <si>
    <t>市町村特別給付費等</t>
    <rPh sb="0" eb="3">
      <t>シチョウソン</t>
    </rPh>
    <rPh sb="3" eb="5">
      <t>トクベツ</t>
    </rPh>
    <rPh sb="5" eb="7">
      <t>キュウフ</t>
    </rPh>
    <rPh sb="7" eb="8">
      <t>ヒ</t>
    </rPh>
    <rPh sb="8" eb="9">
      <t>ナド</t>
    </rPh>
    <phoneticPr fontId="9"/>
  </si>
  <si>
    <t>市町村相互財政安定化事業負担額</t>
    <rPh sb="0" eb="3">
      <t>シチョウソン</t>
    </rPh>
    <rPh sb="3" eb="5">
      <t>ソウゴ</t>
    </rPh>
    <rPh sb="5" eb="7">
      <t>ザイセイ</t>
    </rPh>
    <rPh sb="7" eb="10">
      <t>アンテイカ</t>
    </rPh>
    <rPh sb="10" eb="12">
      <t>ジギョウ</t>
    </rPh>
    <rPh sb="12" eb="14">
      <t>フタン</t>
    </rPh>
    <rPh sb="14" eb="15">
      <t>ガク</t>
    </rPh>
    <phoneticPr fontId="9"/>
  </si>
  <si>
    <t>市町村相互財政安定化事業交付額</t>
    <rPh sb="0" eb="3">
      <t>シチョウソン</t>
    </rPh>
    <rPh sb="3" eb="5">
      <t>ソウゴ</t>
    </rPh>
    <rPh sb="5" eb="7">
      <t>ザイセイ</t>
    </rPh>
    <rPh sb="7" eb="10">
      <t>アンテイカ</t>
    </rPh>
    <rPh sb="10" eb="12">
      <t>ジギョウ</t>
    </rPh>
    <rPh sb="12" eb="15">
      <t>コウフガク</t>
    </rPh>
    <phoneticPr fontId="9"/>
  </si>
  <si>
    <t>保険料収納必要額（L)</t>
    <rPh sb="0" eb="3">
      <t>ホケンリョウ</t>
    </rPh>
    <rPh sb="3" eb="5">
      <t>シュウノウ</t>
    </rPh>
    <rPh sb="5" eb="8">
      <t>ヒツヨウガク</t>
    </rPh>
    <phoneticPr fontId="9"/>
  </si>
  <si>
    <t>予定保険料収納率</t>
    <rPh sb="0" eb="2">
      <t>ヨテイ</t>
    </rPh>
    <rPh sb="2" eb="5">
      <t>ホケンリョウ</t>
    </rPh>
    <rPh sb="5" eb="8">
      <t>シュウノウリツ</t>
    </rPh>
    <phoneticPr fontId="9"/>
  </si>
  <si>
    <t>６．第１号被保険者数関係</t>
    <rPh sb="2" eb="3">
      <t>ダイ</t>
    </rPh>
    <rPh sb="4" eb="5">
      <t>ゴウ</t>
    </rPh>
    <rPh sb="5" eb="9">
      <t>ヒホケンシャ</t>
    </rPh>
    <rPh sb="9" eb="10">
      <t>スウ</t>
    </rPh>
    <rPh sb="10" eb="12">
      <t>カンケイ</t>
    </rPh>
    <phoneticPr fontId="4"/>
  </si>
  <si>
    <t>第1号被保険者数</t>
    <rPh sb="0" eb="3">
      <t>ダイ１ゴウ</t>
    </rPh>
    <rPh sb="3" eb="7">
      <t>ヒホケンシャ</t>
    </rPh>
    <rPh sb="7" eb="8">
      <t>スウ</t>
    </rPh>
    <phoneticPr fontId="9"/>
  </si>
  <si>
    <t>前期(65～74歳)</t>
    <rPh sb="0" eb="2">
      <t>ゼンキ</t>
    </rPh>
    <rPh sb="8" eb="9">
      <t>サイ</t>
    </rPh>
    <phoneticPr fontId="9"/>
  </si>
  <si>
    <t>所得段階別加入割合</t>
    <rPh sb="0" eb="2">
      <t>ショトク</t>
    </rPh>
    <rPh sb="2" eb="4">
      <t>ダンカイ</t>
    </rPh>
    <rPh sb="4" eb="5">
      <t>ベツ</t>
    </rPh>
    <rPh sb="5" eb="7">
      <t>カニュウ</t>
    </rPh>
    <rPh sb="7" eb="9">
      <t>ワリアイ</t>
    </rPh>
    <phoneticPr fontId="9"/>
  </si>
  <si>
    <t>第1段階</t>
    <rPh sb="0" eb="4">
      <t>ダイ１ダンカイ</t>
    </rPh>
    <phoneticPr fontId="9"/>
  </si>
  <si>
    <t>第2段階</t>
    <rPh sb="0" eb="4">
      <t>ダイ２ダンカイ</t>
    </rPh>
    <phoneticPr fontId="9"/>
  </si>
  <si>
    <t>所得段階別被保険者数</t>
    <rPh sb="0" eb="2">
      <t>ショトク</t>
    </rPh>
    <rPh sb="2" eb="4">
      <t>ダンカイ</t>
    </rPh>
    <rPh sb="4" eb="5">
      <t>ベツ</t>
    </rPh>
    <rPh sb="5" eb="9">
      <t>ヒホケンシャ</t>
    </rPh>
    <rPh sb="9" eb="10">
      <t>スウ</t>
    </rPh>
    <phoneticPr fontId="9"/>
  </si>
  <si>
    <t>保険料設定を弾力化した場合の所得段階別加入割合</t>
    <rPh sb="0" eb="3">
      <t>ホケンリョウ</t>
    </rPh>
    <rPh sb="3" eb="5">
      <t>セッテイ</t>
    </rPh>
    <rPh sb="6" eb="9">
      <t>ダンリョクカ</t>
    </rPh>
    <rPh sb="11" eb="13">
      <t>バアイ</t>
    </rPh>
    <rPh sb="14" eb="16">
      <t>ショトク</t>
    </rPh>
    <rPh sb="16" eb="18">
      <t>ダンカイ</t>
    </rPh>
    <rPh sb="18" eb="19">
      <t>ベツ</t>
    </rPh>
    <rPh sb="19" eb="21">
      <t>カニュウ</t>
    </rPh>
    <rPh sb="21" eb="23">
      <t>ワリアイ</t>
    </rPh>
    <phoneticPr fontId="9"/>
  </si>
  <si>
    <t>第10段階</t>
    <rPh sb="0" eb="1">
      <t>ダイ</t>
    </rPh>
    <rPh sb="3" eb="5">
      <t>ダンカイ</t>
    </rPh>
    <phoneticPr fontId="9"/>
  </si>
  <si>
    <t>第11段階</t>
    <rPh sb="0" eb="1">
      <t>ダイ</t>
    </rPh>
    <rPh sb="3" eb="5">
      <t>ダンカイ</t>
    </rPh>
    <phoneticPr fontId="9"/>
  </si>
  <si>
    <t>第12段階</t>
    <rPh sb="0" eb="1">
      <t>ダイ</t>
    </rPh>
    <rPh sb="3" eb="5">
      <t>ダンカイ</t>
    </rPh>
    <phoneticPr fontId="9"/>
  </si>
  <si>
    <t>第13段階</t>
    <rPh sb="0" eb="1">
      <t>ダイ</t>
    </rPh>
    <rPh sb="3" eb="5">
      <t>ダンカイ</t>
    </rPh>
    <phoneticPr fontId="9"/>
  </si>
  <si>
    <t>第14段階</t>
    <rPh sb="0" eb="1">
      <t>ダイ</t>
    </rPh>
    <rPh sb="3" eb="5">
      <t>ダンカイ</t>
    </rPh>
    <phoneticPr fontId="9"/>
  </si>
  <si>
    <t>第15段階</t>
    <rPh sb="0" eb="1">
      <t>ダイ</t>
    </rPh>
    <rPh sb="3" eb="5">
      <t>ダンカイ</t>
    </rPh>
    <phoneticPr fontId="9"/>
  </si>
  <si>
    <t>第16段階</t>
    <rPh sb="0" eb="1">
      <t>ダイ</t>
    </rPh>
    <rPh sb="3" eb="5">
      <t>ダンカイ</t>
    </rPh>
    <phoneticPr fontId="9"/>
  </si>
  <si>
    <t>第17段階</t>
    <rPh sb="0" eb="1">
      <t>ダイ</t>
    </rPh>
    <rPh sb="3" eb="5">
      <t>ダンカイ</t>
    </rPh>
    <phoneticPr fontId="9"/>
  </si>
  <si>
    <t>第18段階</t>
    <rPh sb="0" eb="1">
      <t>ダイ</t>
    </rPh>
    <rPh sb="3" eb="5">
      <t>ダンカイ</t>
    </rPh>
    <phoneticPr fontId="9"/>
  </si>
  <si>
    <t>第19段階</t>
    <rPh sb="0" eb="1">
      <t>ダイ</t>
    </rPh>
    <rPh sb="3" eb="5">
      <t>ダンカイ</t>
    </rPh>
    <phoneticPr fontId="4"/>
  </si>
  <si>
    <t>第20段階</t>
    <rPh sb="0" eb="1">
      <t>ダイ</t>
    </rPh>
    <rPh sb="3" eb="5">
      <t>ダンカイ</t>
    </rPh>
    <phoneticPr fontId="4"/>
  </si>
  <si>
    <t>第21段階</t>
    <rPh sb="0" eb="1">
      <t>ダイ</t>
    </rPh>
    <rPh sb="3" eb="5">
      <t>ダンカイ</t>
    </rPh>
    <phoneticPr fontId="4"/>
  </si>
  <si>
    <t>第22段階</t>
    <rPh sb="0" eb="1">
      <t>ダイ</t>
    </rPh>
    <rPh sb="3" eb="5">
      <t>ダンカイ</t>
    </rPh>
    <phoneticPr fontId="4"/>
  </si>
  <si>
    <t>第23段階</t>
    <rPh sb="0" eb="1">
      <t>ダイ</t>
    </rPh>
    <rPh sb="3" eb="5">
      <t>ダンカイ</t>
    </rPh>
    <phoneticPr fontId="4"/>
  </si>
  <si>
    <t>第24段階</t>
    <rPh sb="0" eb="1">
      <t>ダイ</t>
    </rPh>
    <rPh sb="3" eb="5">
      <t>ダンカイ</t>
    </rPh>
    <phoneticPr fontId="4"/>
  </si>
  <si>
    <t>第25段階</t>
    <rPh sb="0" eb="1">
      <t>ダイ</t>
    </rPh>
    <rPh sb="3" eb="5">
      <t>ダンカイ</t>
    </rPh>
    <phoneticPr fontId="4"/>
  </si>
  <si>
    <t>保険料設定を弾力化した場合の所得段階別被保険者数</t>
    <rPh sb="0" eb="3">
      <t>ホケンリョウ</t>
    </rPh>
    <rPh sb="3" eb="5">
      <t>セッテイ</t>
    </rPh>
    <rPh sb="6" eb="9">
      <t>ダンリョクカ</t>
    </rPh>
    <rPh sb="11" eb="13">
      <t>バアイ</t>
    </rPh>
    <rPh sb="14" eb="16">
      <t>ショトク</t>
    </rPh>
    <rPh sb="16" eb="18">
      <t>ダンカイ</t>
    </rPh>
    <rPh sb="18" eb="19">
      <t>ベツ</t>
    </rPh>
    <rPh sb="19" eb="23">
      <t>ヒホケンシャ</t>
    </rPh>
    <rPh sb="23" eb="24">
      <t>スウ</t>
    </rPh>
    <phoneticPr fontId="9"/>
  </si>
  <si>
    <t>所得段階別加入割合補正後被保険者数（C）</t>
    <rPh sb="2" eb="5">
      <t>ダンカイベツ</t>
    </rPh>
    <rPh sb="5" eb="7">
      <t>カニュウ</t>
    </rPh>
    <rPh sb="7" eb="9">
      <t>ワリアイ</t>
    </rPh>
    <phoneticPr fontId="9"/>
  </si>
  <si>
    <t>弾力化をした場合の所得段階別加入割合補正後被保険者数（C'）</t>
    <rPh sb="0" eb="3">
      <t>ダンリョクカ</t>
    </rPh>
    <rPh sb="6" eb="8">
      <t>バアイ</t>
    </rPh>
    <rPh sb="11" eb="14">
      <t>ダンカイベツ</t>
    </rPh>
    <rPh sb="14" eb="16">
      <t>カニュウ</t>
    </rPh>
    <rPh sb="16" eb="18">
      <t>ワリアイ</t>
    </rPh>
    <phoneticPr fontId="9"/>
  </si>
  <si>
    <t>７．保険料弾力化関係係数</t>
    <rPh sb="2" eb="5">
      <t>ホケンリョウ</t>
    </rPh>
    <rPh sb="5" eb="8">
      <t>ダンリョクカ</t>
    </rPh>
    <rPh sb="8" eb="10">
      <t>カンケイ</t>
    </rPh>
    <rPh sb="10" eb="12">
      <t>ケイスウ</t>
    </rPh>
    <phoneticPr fontId="9"/>
  </si>
  <si>
    <t>保険料段階設定数</t>
    <rPh sb="0" eb="3">
      <t>ホケンリョウ</t>
    </rPh>
    <rPh sb="3" eb="5">
      <t>ダンカイ</t>
    </rPh>
    <rPh sb="5" eb="7">
      <t>セッテイ</t>
    </rPh>
    <rPh sb="7" eb="8">
      <t>スウ</t>
    </rPh>
    <phoneticPr fontId="9"/>
  </si>
  <si>
    <t>基準額に対する割合</t>
    <rPh sb="0" eb="3">
      <t>キジュンガク</t>
    </rPh>
    <rPh sb="4" eb="5">
      <t>タイ</t>
    </rPh>
    <rPh sb="7" eb="9">
      <t>ワリアイ</t>
    </rPh>
    <phoneticPr fontId="9"/>
  </si>
  <si>
    <t>第1段階</t>
    <rPh sb="0" eb="1">
      <t>ダイ</t>
    </rPh>
    <rPh sb="2" eb="4">
      <t>ダンカイ</t>
    </rPh>
    <phoneticPr fontId="9"/>
  </si>
  <si>
    <t>第2段階</t>
    <rPh sb="0" eb="1">
      <t>ダイ</t>
    </rPh>
    <rPh sb="2" eb="4">
      <t>ダンカイ</t>
    </rPh>
    <phoneticPr fontId="9"/>
  </si>
  <si>
    <t>第3段階</t>
    <rPh sb="0" eb="1">
      <t>ダイ</t>
    </rPh>
    <rPh sb="2" eb="4">
      <t>ダンカイ</t>
    </rPh>
    <phoneticPr fontId="9"/>
  </si>
  <si>
    <t>第4段階</t>
    <rPh sb="0" eb="1">
      <t>ダイ</t>
    </rPh>
    <rPh sb="2" eb="4">
      <t>ダンカイ</t>
    </rPh>
    <phoneticPr fontId="9"/>
  </si>
  <si>
    <t>第5段階</t>
    <rPh sb="0" eb="1">
      <t>ダイ</t>
    </rPh>
    <rPh sb="2" eb="4">
      <t>ダンカイ</t>
    </rPh>
    <phoneticPr fontId="9"/>
  </si>
  <si>
    <t>第6段階</t>
    <rPh sb="0" eb="1">
      <t>ダイ</t>
    </rPh>
    <rPh sb="2" eb="4">
      <t>ダンカイ</t>
    </rPh>
    <phoneticPr fontId="9"/>
  </si>
  <si>
    <t>第7段階</t>
    <rPh sb="0" eb="1">
      <t>ダイ</t>
    </rPh>
    <rPh sb="2" eb="4">
      <t>ダンカイ</t>
    </rPh>
    <phoneticPr fontId="9"/>
  </si>
  <si>
    <t>第8段階</t>
    <rPh sb="0" eb="1">
      <t>ダイ</t>
    </rPh>
    <rPh sb="2" eb="4">
      <t>ダンカイ</t>
    </rPh>
    <phoneticPr fontId="9"/>
  </si>
  <si>
    <t>第9段階</t>
    <rPh sb="0" eb="1">
      <t>ダイ</t>
    </rPh>
    <rPh sb="2" eb="4">
      <t>ダンカイ</t>
    </rPh>
    <phoneticPr fontId="9"/>
  </si>
  <si>
    <t>基準所得金額</t>
    <rPh sb="0" eb="2">
      <t>キジュン</t>
    </rPh>
    <rPh sb="2" eb="4">
      <t>ショトク</t>
    </rPh>
    <rPh sb="4" eb="6">
      <t>キンガク</t>
    </rPh>
    <phoneticPr fontId="9"/>
  </si>
  <si>
    <t>第6段階と第7段階を区分</t>
    <rPh sb="0" eb="1">
      <t>ダイ</t>
    </rPh>
    <rPh sb="2" eb="4">
      <t>ダンカイ</t>
    </rPh>
    <rPh sb="5" eb="6">
      <t>ダイ</t>
    </rPh>
    <rPh sb="7" eb="9">
      <t>ダンカイ</t>
    </rPh>
    <rPh sb="10" eb="12">
      <t>クブン</t>
    </rPh>
    <phoneticPr fontId="9"/>
  </si>
  <si>
    <t>第7段階と第8段階を区分</t>
    <rPh sb="0" eb="1">
      <t>ダイ</t>
    </rPh>
    <rPh sb="2" eb="4">
      <t>ダンカイ</t>
    </rPh>
    <rPh sb="5" eb="6">
      <t>ダイ</t>
    </rPh>
    <rPh sb="7" eb="9">
      <t>ダンカイ</t>
    </rPh>
    <rPh sb="10" eb="12">
      <t>クブン</t>
    </rPh>
    <phoneticPr fontId="9"/>
  </si>
  <si>
    <t>第8段階と第9段階を区分</t>
    <rPh sb="0" eb="1">
      <t>ダイ</t>
    </rPh>
    <rPh sb="2" eb="4">
      <t>ダンカイ</t>
    </rPh>
    <rPh sb="5" eb="6">
      <t>ダイ</t>
    </rPh>
    <rPh sb="7" eb="9">
      <t>ダンカイ</t>
    </rPh>
    <rPh sb="10" eb="12">
      <t>クブン</t>
    </rPh>
    <phoneticPr fontId="9"/>
  </si>
  <si>
    <t>第9段階と第10段階を区分</t>
    <rPh sb="0" eb="1">
      <t>ダイ</t>
    </rPh>
    <rPh sb="2" eb="4">
      <t>ダンカイ</t>
    </rPh>
    <rPh sb="5" eb="6">
      <t>ダイ</t>
    </rPh>
    <rPh sb="8" eb="10">
      <t>ダンカイ</t>
    </rPh>
    <rPh sb="11" eb="13">
      <t>クブン</t>
    </rPh>
    <phoneticPr fontId="9"/>
  </si>
  <si>
    <t>第10段階と第11段階を区分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</si>
  <si>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第11段階と第12段階を区分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</si>
  <si>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第12段階と第13段階を区分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</si>
  <si>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第13段階と第14段階を区分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</si>
  <si>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第14段階と第15段階を区分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</si>
  <si>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第15段階と第16段階を区分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</si>
  <si>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第16段階と第17段階を区分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</si>
  <si>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第17段階と第18段階を区分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</si>
  <si>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第18段階と第19段階を区分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4"/>
  </si>
  <si>
    <t>第19段階と第20段階を区分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4"/>
  </si>
  <si>
    <t>第20段階と第21段階を区分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</si>
  <si>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第21段階と第22段階を区分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</si>
  <si>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第22段階と第23段階を区分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</si>
  <si>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第23段階と第24段階を区分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</si>
  <si>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第24段階と第25段階を区分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9"/>
  </si>
  <si>
    <t>（参考）標準段階区分</t>
    <rPh sb="1" eb="3">
      <t>サンコウ</t>
    </rPh>
    <rPh sb="4" eb="6">
      <t>ヒョウジュン</t>
    </rPh>
    <rPh sb="6" eb="8">
      <t>ダンカイ</t>
    </rPh>
    <rPh sb="8" eb="10">
      <t>クブン</t>
    </rPh>
    <phoneticPr fontId="9"/>
  </si>
  <si>
    <t>３．総給付費</t>
    <rPh sb="2" eb="3">
      <t>ソウ</t>
    </rPh>
    <rPh sb="3" eb="5">
      <t>キュウフ</t>
    </rPh>
    <rPh sb="5" eb="6">
      <t>ヒ</t>
    </rPh>
    <phoneticPr fontId="4"/>
  </si>
  <si>
    <t>介護医療院</t>
    <phoneticPr fontId="9"/>
  </si>
  <si>
    <t>(平成37年度は介護療養型医療施設を含む）</t>
    <phoneticPr fontId="9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</si>
  <si>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9"/>
  </si>
  <si>
    <t>給付費（千円）</t>
    <phoneticPr fontId="9"/>
  </si>
  <si>
    <t>人数（人）</t>
    <phoneticPr fontId="9"/>
  </si>
  <si>
    <t>平成37年度</t>
    <rPh sb="0" eb="2">
      <t>ヘイセイ</t>
    </rPh>
    <rPh sb="4" eb="6">
      <t>ネンド</t>
    </rPh>
    <phoneticPr fontId="9"/>
  </si>
  <si>
    <t>４．施設サービス利用者数</t>
    <rPh sb="2" eb="4">
      <t>シセツ</t>
    </rPh>
    <rPh sb="8" eb="10">
      <t>リヨウ</t>
    </rPh>
    <rPh sb="10" eb="11">
      <t>シャ</t>
    </rPh>
    <rPh sb="11" eb="12">
      <t>スウ</t>
    </rPh>
    <phoneticPr fontId="4"/>
  </si>
  <si>
    <t>うち要介護4・5（人）</t>
    <rPh sb="2" eb="5">
      <t>ヨウカイゴ</t>
    </rPh>
    <rPh sb="9" eb="10">
      <t>ニン</t>
    </rPh>
    <phoneticPr fontId="9"/>
  </si>
  <si>
    <t>うち要介護4・5の割合（％）</t>
    <rPh sb="2" eb="5">
      <t>ヨウカイゴ</t>
    </rPh>
    <rPh sb="9" eb="11">
      <t>ワリアイ</t>
    </rPh>
    <phoneticPr fontId="9"/>
  </si>
  <si>
    <t>後期(85歳～)</t>
  </si>
  <si>
    <t>H30～H32</t>
    <phoneticPr fontId="4"/>
  </si>
  <si>
    <t>H37</t>
    <phoneticPr fontId="4"/>
  </si>
  <si>
    <t>第１号被保険者負担割合（%）</t>
    <phoneticPr fontId="4"/>
  </si>
  <si>
    <t>H30</t>
    <phoneticPr fontId="4"/>
  </si>
  <si>
    <t>H31</t>
    <phoneticPr fontId="4"/>
  </si>
  <si>
    <t>H32</t>
    <phoneticPr fontId="4"/>
  </si>
  <si>
    <t>費用負担の見直しに伴う調整に係る係数（参考値）（未定）</t>
    <phoneticPr fontId="4"/>
  </si>
  <si>
    <t>第７期</t>
    <phoneticPr fontId="4"/>
  </si>
  <si>
    <t>平成37年度</t>
    <phoneticPr fontId="4"/>
  </si>
  <si>
    <t>平成30年度</t>
    <phoneticPr fontId="4"/>
  </si>
  <si>
    <t>平成31年度</t>
    <phoneticPr fontId="4"/>
  </si>
  <si>
    <t>平成32年度</t>
    <phoneticPr fontId="4"/>
  </si>
  <si>
    <t>消費税率等の見直しを勘案した影響額</t>
    <rPh sb="0" eb="3">
      <t>ショウヒゼイ</t>
    </rPh>
    <rPh sb="3" eb="4">
      <t>リツ</t>
    </rPh>
    <rPh sb="4" eb="5">
      <t>トウ</t>
    </rPh>
    <rPh sb="6" eb="8">
      <t>ミナオ</t>
    </rPh>
    <rPh sb="10" eb="12">
      <t>カンアン</t>
    </rPh>
    <rPh sb="14" eb="17">
      <t>エイキョウガク</t>
    </rPh>
    <phoneticPr fontId="4"/>
  </si>
  <si>
    <t>後期(75歳～84歳)</t>
  </si>
  <si>
    <t>第6段階</t>
    <phoneticPr fontId="9"/>
  </si>
  <si>
    <t>第7段階</t>
    <phoneticPr fontId="4"/>
  </si>
  <si>
    <t>第8段階</t>
    <phoneticPr fontId="4"/>
  </si>
  <si>
    <t>第9段階</t>
    <phoneticPr fontId="9"/>
  </si>
  <si>
    <t>保険料基準額（月額）</t>
    <phoneticPr fontId="4"/>
  </si>
  <si>
    <t>総給付費（一定以上所得者負担の調整後）</t>
    <phoneticPr fontId="9"/>
  </si>
  <si>
    <t>総給付費</t>
    <phoneticPr fontId="4"/>
  </si>
  <si>
    <t>特定入所者介護サービス費等給付額（資産等勘案調整後）</t>
    <phoneticPr fontId="9"/>
  </si>
  <si>
    <t>特定入所者介護サービス費等給付額</t>
    <phoneticPr fontId="4"/>
  </si>
  <si>
    <t>審査支払手数料一件あたり単価</t>
    <phoneticPr fontId="5"/>
  </si>
  <si>
    <t>審査支払手数料支払件数</t>
    <phoneticPr fontId="4"/>
  </si>
  <si>
    <t>第７期</t>
    <phoneticPr fontId="4"/>
  </si>
  <si>
    <t>平成37年度</t>
    <phoneticPr fontId="4"/>
  </si>
  <si>
    <t>第6段階</t>
    <phoneticPr fontId="9"/>
  </si>
  <si>
    <t>第7段階</t>
    <phoneticPr fontId="4"/>
  </si>
  <si>
    <t>第8段階</t>
    <phoneticPr fontId="4"/>
  </si>
  <si>
    <t>第9段階</t>
    <phoneticPr fontId="9"/>
  </si>
  <si>
    <t>第７期</t>
    <phoneticPr fontId="4"/>
  </si>
  <si>
    <t>平成37年度</t>
    <phoneticPr fontId="4"/>
  </si>
  <si>
    <t>平成30年度</t>
    <phoneticPr fontId="4"/>
  </si>
  <si>
    <t>平成31年度</t>
    <phoneticPr fontId="4"/>
  </si>
  <si>
    <t>平成32年度</t>
    <phoneticPr fontId="4"/>
  </si>
  <si>
    <t>第7期介護保険事業（支援）計画策定に向けたワークシート
【総括表】</t>
    <rPh sb="29" eb="32">
      <t>ソウカツヒョウ</t>
    </rPh>
    <phoneticPr fontId="4"/>
  </si>
  <si>
    <t>後期(75歳～)</t>
    <phoneticPr fontId="4"/>
  </si>
  <si>
    <t>後期高齢者加入割合補正係数（2区分）</t>
    <rPh sb="15" eb="17">
      <t>クブン</t>
    </rPh>
    <phoneticPr fontId="4"/>
  </si>
  <si>
    <t>後期高齢者加入割合補正係数（3区分）</t>
    <phoneticPr fontId="4"/>
  </si>
  <si>
    <t>後期高齢者加入割合補正係数（F）</t>
  </si>
  <si>
    <t>所得段階別加入割合補正係数（G）</t>
    <phoneticPr fontId="4"/>
  </si>
  <si>
    <t>調整交付金見込額（I）</t>
    <phoneticPr fontId="4"/>
  </si>
  <si>
    <t>調整交付金見込交付割合（H）</t>
    <phoneticPr fontId="4"/>
  </si>
  <si>
    <t>－</t>
  </si>
  <si>
    <t>後期高齢者加入割合補正係数の算出に係る係数（全国値）</t>
    <phoneticPr fontId="4"/>
  </si>
  <si>
    <t>所得段階別加入割合補正係数の算出に係る係数（全国値）（％）</t>
    <rPh sb="0" eb="2">
      <t>ショトク</t>
    </rPh>
    <rPh sb="2" eb="4">
      <t>ダンカイ</t>
    </rPh>
    <rPh sb="4" eb="5">
      <t>ベツ</t>
    </rPh>
    <rPh sb="5" eb="7">
      <t>カニュウ</t>
    </rPh>
    <rPh sb="7" eb="9">
      <t>ワリアイ</t>
    </rPh>
    <rPh sb="9" eb="11">
      <t>ホセイ</t>
    </rPh>
    <rPh sb="11" eb="13">
      <t>ケイスウ</t>
    </rPh>
    <rPh sb="14" eb="16">
      <t>サンシュツ</t>
    </rPh>
    <rPh sb="17" eb="18">
      <t>カカ</t>
    </rPh>
    <rPh sb="19" eb="21">
      <t>ケイスウ</t>
    </rPh>
    <rPh sb="22" eb="24">
      <t>ゼンコク</t>
    </rPh>
    <rPh sb="24" eb="25">
      <t>チ</t>
    </rPh>
    <phoneticPr fontId="4"/>
  </si>
  <si>
    <t>後期高齢者加入割合</t>
  </si>
  <si>
    <t>　　85歳未満後期高齢者加入割合</t>
  </si>
  <si>
    <t>　　85歳以上後期高齢者加入割合</t>
  </si>
  <si>
    <t>前期高齢者の要介護等発生率</t>
  </si>
  <si>
    <t>後期高齢者の要介護等発生率</t>
  </si>
  <si>
    <t>　　85歳未満後期高齢者の要介護等発生率</t>
  </si>
  <si>
    <t>　　85歳以上後期高齢者の要介護等発生率</t>
  </si>
  <si>
    <t>2018/03/06</t>
  </si>
  <si>
    <t>珠洲市</t>
  </si>
  <si>
    <t>17205</t>
  </si>
  <si>
    <t>第７期珠洲市介護保険事業計画</t>
    <phoneticPr fontId="9"/>
  </si>
  <si>
    <t>（3）第１号被保険者の保険料推計</t>
    <rPh sb="3" eb="4">
      <t>ダイ</t>
    </rPh>
    <rPh sb="5" eb="6">
      <t>ゴウ</t>
    </rPh>
    <rPh sb="6" eb="10">
      <t>ヒホケンシャ</t>
    </rPh>
    <rPh sb="11" eb="14">
      <t>ホケンリョウ</t>
    </rPh>
    <rPh sb="14" eb="16">
      <t>スイケイ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</si>
</sst>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.0_ "/>
    <numFmt numFmtId="178" formatCode="0.000_);[Red]\(0.000\)"/>
    <numFmt numFmtId="179" formatCode="&quot;¥&quot;#,##0_);[Red]\(&quot;¥&quot;#,##0\)"/>
    <numFmt numFmtId="180" formatCode="0.0%"/>
    <numFmt numFmtId="181" formatCode="#,###&quot;円&quot;"/>
    <numFmt numFmtId="182" formatCode="#,##0_);[Red]\(#,##0\)"/>
    <numFmt numFmtId="183" formatCode="0.0000_);[Red]\(0.0000\)"/>
    <numFmt numFmtId="184" formatCode="#,##0.0000_ "/>
    <numFmt numFmtId="185" formatCode="0.00_ "/>
    <numFmt numFmtId="186" formatCode="0.000_ 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ＤＦ特太ゴシック体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</fills>
  <borders count="20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thin">
        <color auto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 diagonalUp="1">
      <left style="medium">
        <color theme="1"/>
      </left>
      <right style="hair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thin">
        <color auto="1"/>
      </top>
      <bottom/>
      <diagonal/>
    </border>
    <border>
      <left/>
      <right style="medium">
        <color theme="1"/>
      </right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theme="1"/>
      </right>
      <top style="thin">
        <color theme="1"/>
      </top>
      <bottom style="thin">
        <color theme="1"/>
      </bottom>
      <diagonal style="thin">
        <color auto="1"/>
      </diagonal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thin">
        <color theme="1"/>
      </top>
      <bottom/>
      <diagonal/>
    </border>
  </borders>
  <cellStyleXfs count="88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5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23" borderId="57" applyNumberFormat="0" applyFont="0" applyAlignment="0" applyProtection="0">
      <alignment vertical="center"/>
    </xf>
    <xf numFmtId="0" fontId="16" fillId="0" borderId="5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4" borderId="5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20" fillId="0" borderId="61" applyNumberFormat="0" applyFill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3" applyNumberFormat="0" applyFill="0" applyAlignment="0" applyProtection="0">
      <alignment vertical="center"/>
    </xf>
    <xf numFmtId="0" fontId="23" fillId="24" borderId="6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4" fillId="8" borderId="59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25" fillId="0" borderId="0">
      <alignment vertical="center"/>
    </xf>
    <xf numFmtId="0" fontId="7" fillId="0" borderId="0"/>
    <xf numFmtId="0" fontId="11" fillId="0" borderId="0">
      <alignment vertical="center"/>
    </xf>
    <xf numFmtId="0" fontId="25" fillId="0" borderId="0">
      <alignment vertical="center"/>
    </xf>
    <xf numFmtId="0" fontId="7" fillId="0" borderId="0"/>
    <xf numFmtId="0" fontId="26" fillId="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4" fillId="21" borderId="56" applyNumberFormat="0" applyAlignment="0" applyProtection="0">
      <alignment vertical="center"/>
    </xf>
    <xf numFmtId="0" fontId="7" fillId="23" borderId="80" applyNumberFormat="0" applyFont="0" applyAlignment="0" applyProtection="0">
      <alignment vertical="center"/>
    </xf>
    <xf numFmtId="0" fontId="18" fillId="24" borderId="81" applyNumberFormat="0" applyAlignment="0" applyProtection="0">
      <alignment vertical="center"/>
    </xf>
    <xf numFmtId="0" fontId="22" fillId="0" borderId="82" applyNumberFormat="0" applyFill="0" applyAlignment="0" applyProtection="0">
      <alignment vertical="center"/>
    </xf>
    <xf numFmtId="0" fontId="23" fillId="24" borderId="83" applyNumberFormat="0" applyAlignment="0" applyProtection="0">
      <alignment vertical="center"/>
    </xf>
    <xf numFmtId="0" fontId="24" fillId="8" borderId="81" applyNumberFormat="0" applyAlignment="0" applyProtection="0">
      <alignment vertical="center"/>
    </xf>
    <xf numFmtId="0" fontId="22" fillId="0" borderId="82" applyNumberFormat="0" applyFill="0" applyAlignment="0" applyProtection="0">
      <alignment vertical="center"/>
    </xf>
    <xf numFmtId="0" fontId="23" fillId="24" borderId="83" applyNumberFormat="0" applyAlignment="0" applyProtection="0">
      <alignment vertical="center"/>
    </xf>
    <xf numFmtId="0" fontId="14" fillId="21" borderId="56" applyNumberFormat="0" applyAlignment="0" applyProtection="0">
      <alignment vertical="center"/>
    </xf>
    <xf numFmtId="0" fontId="22" fillId="0" borderId="82" applyNumberFormat="0" applyFill="0" applyAlignment="0" applyProtection="0">
      <alignment vertical="center"/>
    </xf>
    <xf numFmtId="0" fontId="23" fillId="24" borderId="83" applyNumberFormat="0" applyAlignment="0" applyProtection="0">
      <alignment vertical="center"/>
    </xf>
    <xf numFmtId="0" fontId="14" fillId="21" borderId="84" applyNumberFormat="0" applyAlignment="0" applyProtection="0">
      <alignment vertical="center"/>
    </xf>
    <xf numFmtId="0" fontId="14" fillId="21" borderId="84" applyNumberFormat="0" applyAlignment="0" applyProtection="0">
      <alignment vertical="center"/>
    </xf>
    <xf numFmtId="0" fontId="14" fillId="21" borderId="84" applyNumberFormat="0" applyAlignment="0" applyProtection="0">
      <alignment vertical="center"/>
    </xf>
    <xf numFmtId="0" fontId="14" fillId="21" borderId="87" applyNumberFormat="0" applyAlignment="0" applyProtection="0">
      <alignment vertical="center"/>
    </xf>
    <xf numFmtId="0" fontId="28" fillId="0" borderId="0"/>
    <xf numFmtId="0" fontId="14" fillId="21" borderId="86" applyNumberFormat="0" applyAlignment="0" applyProtection="0">
      <alignment vertical="center"/>
    </xf>
    <xf numFmtId="0" fontId="14" fillId="21" borderId="86" applyNumberFormat="0" applyAlignment="0" applyProtection="0">
      <alignment vertical="center"/>
    </xf>
    <xf numFmtId="0" fontId="14" fillId="21" borderId="88" applyNumberFormat="0" applyAlignment="0" applyProtection="0">
      <alignment vertical="center"/>
    </xf>
    <xf numFmtId="0" fontId="14" fillId="21" borderId="88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85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left" vertical="top"/>
    </xf>
    <xf numFmtId="0" fontId="0" fillId="2" borderId="0" xfId="0" applyFill="1">
      <alignment vertical="center"/>
    </xf>
    <xf numFmtId="0" fontId="6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left" vertical="top"/>
    </xf>
    <xf numFmtId="0" fontId="7" fillId="2" borderId="0" xfId="2" applyFont="1" applyFill="1" applyAlignment="1" applyProtection="1">
      <alignment vertical="center"/>
    </xf>
    <xf numFmtId="0" fontId="8" fillId="2" borderId="0" xfId="2" applyFont="1" applyFill="1" applyAlignment="1" applyProtection="1">
      <alignment horizontal="right" vertical="center"/>
    </xf>
    <xf numFmtId="0" fontId="7" fillId="2" borderId="1" xfId="2" applyFill="1" applyBorder="1" applyAlignment="1" applyProtection="1">
      <alignment horizontal="center" vertical="center"/>
    </xf>
    <xf numFmtId="0" fontId="7" fillId="2" borderId="2" xfId="2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vertical="center"/>
    </xf>
    <xf numFmtId="0" fontId="7" fillId="2" borderId="6" xfId="2" applyFont="1" applyFill="1" applyBorder="1" applyAlignment="1" applyProtection="1">
      <alignment horizontal="left" vertical="top"/>
    </xf>
    <xf numFmtId="0" fontId="7" fillId="2" borderId="7" xfId="2" applyFont="1" applyFill="1" applyBorder="1" applyAlignment="1" applyProtection="1">
      <alignment vertical="center"/>
    </xf>
    <xf numFmtId="0" fontId="7" fillId="2" borderId="12" xfId="2" applyFont="1" applyFill="1" applyBorder="1" applyAlignment="1" applyProtection="1">
      <alignment vertical="center"/>
    </xf>
    <xf numFmtId="0" fontId="7" fillId="2" borderId="13" xfId="2" applyFont="1" applyFill="1" applyBorder="1" applyAlignment="1" applyProtection="1">
      <alignment horizontal="left" vertical="center"/>
    </xf>
    <xf numFmtId="0" fontId="0" fillId="2" borderId="14" xfId="0" applyFill="1" applyBorder="1">
      <alignment vertical="center"/>
    </xf>
    <xf numFmtId="0" fontId="7" fillId="2" borderId="23" xfId="2" applyFont="1" applyFill="1" applyBorder="1" applyAlignment="1" applyProtection="1">
      <alignment horizontal="left" vertical="top"/>
    </xf>
    <xf numFmtId="0" fontId="7" fillId="2" borderId="24" xfId="2" applyFont="1" applyFill="1" applyBorder="1" applyAlignment="1" applyProtection="1">
      <alignment vertical="center"/>
    </xf>
    <xf numFmtId="0" fontId="0" fillId="2" borderId="5" xfId="0" applyFill="1" applyBorder="1">
      <alignment vertical="center"/>
    </xf>
    <xf numFmtId="0" fontId="0" fillId="2" borderId="27" xfId="0" applyFill="1" applyBorder="1" applyAlignment="1">
      <alignment horizontal="left" vertical="top"/>
    </xf>
    <xf numFmtId="0" fontId="0" fillId="2" borderId="12" xfId="0" applyFill="1" applyBorder="1">
      <alignment vertical="center"/>
    </xf>
    <xf numFmtId="0" fontId="7" fillId="2" borderId="13" xfId="2" applyFont="1" applyFill="1" applyBorder="1" applyAlignment="1" applyProtection="1">
      <alignment horizontal="left" vertical="top"/>
    </xf>
    <xf numFmtId="0" fontId="7" fillId="2" borderId="28" xfId="2" applyFont="1" applyFill="1" applyBorder="1" applyAlignment="1" applyProtection="1">
      <alignment vertical="center"/>
    </xf>
    <xf numFmtId="0" fontId="7" fillId="2" borderId="29" xfId="2" applyFont="1" applyFill="1" applyBorder="1" applyAlignment="1" applyProtection="1">
      <alignment horizontal="left" vertical="top"/>
    </xf>
    <xf numFmtId="0" fontId="0" fillId="2" borderId="29" xfId="0" applyFill="1" applyBorder="1" applyAlignment="1">
      <alignment horizontal="left" vertical="top"/>
    </xf>
    <xf numFmtId="0" fontId="0" fillId="2" borderId="17" xfId="0" applyFill="1" applyBorder="1">
      <alignment vertical="center"/>
    </xf>
    <xf numFmtId="0" fontId="0" fillId="2" borderId="30" xfId="0" applyFill="1" applyBorder="1" applyAlignment="1">
      <alignment horizontal="left" vertical="top"/>
    </xf>
    <xf numFmtId="0" fontId="7" fillId="2" borderId="18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right" vertical="center"/>
    </xf>
    <xf numFmtId="176" fontId="0" fillId="2" borderId="0" xfId="0" applyNumberFormat="1" applyFill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 applyAlignment="1">
      <alignment horizontal="left" vertical="top"/>
    </xf>
    <xf numFmtId="0" fontId="0" fillId="2" borderId="32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53" xfId="0" applyFill="1" applyBorder="1" applyAlignment="1">
      <alignment horizontal="left" vertical="top"/>
    </xf>
    <xf numFmtId="0" fontId="0" fillId="2" borderId="53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top"/>
    </xf>
    <xf numFmtId="0" fontId="7" fillId="2" borderId="5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right" vertical="center"/>
    </xf>
    <xf numFmtId="0" fontId="8" fillId="2" borderId="0" xfId="3" applyFont="1" applyFill="1" applyProtection="1">
      <alignment vertical="center"/>
    </xf>
    <xf numFmtId="0" fontId="7" fillId="2" borderId="51" xfId="2" applyFont="1" applyFill="1" applyBorder="1" applyAlignment="1" applyProtection="1">
      <alignment horizontal="left" vertical="top"/>
    </xf>
    <xf numFmtId="0" fontId="7" fillId="2" borderId="0" xfId="3" applyFont="1" applyFill="1" applyBorder="1" applyAlignment="1" applyProtection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0" xfId="0" applyFill="1">
      <alignment vertical="center"/>
    </xf>
    <xf numFmtId="0" fontId="0" fillId="2" borderId="39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2" borderId="0" xfId="0" applyFill="1" applyAlignment="1">
      <alignment horizontal="left" vertical="top"/>
    </xf>
    <xf numFmtId="0" fontId="0" fillId="2" borderId="12" xfId="3" applyFont="1" applyFill="1" applyBorder="1" applyAlignment="1" applyProtection="1">
      <alignment vertical="center"/>
    </xf>
    <xf numFmtId="0" fontId="7" fillId="2" borderId="0" xfId="3" applyFill="1" applyBorder="1" applyAlignment="1" applyProtection="1">
      <alignment vertical="center"/>
    </xf>
    <xf numFmtId="0" fontId="7" fillId="2" borderId="12" xfId="3" applyFill="1" applyBorder="1" applyAlignment="1" applyProtection="1">
      <alignment vertical="center"/>
    </xf>
    <xf numFmtId="0" fontId="0" fillId="2" borderId="74" xfId="3" applyFont="1" applyFill="1" applyBorder="1" applyAlignment="1" applyProtection="1">
      <alignment vertical="center"/>
    </xf>
    <xf numFmtId="0" fontId="7" fillId="2" borderId="74" xfId="3" applyFont="1" applyFill="1" applyBorder="1" applyAlignment="1" applyProtection="1">
      <alignment vertical="center"/>
    </xf>
    <xf numFmtId="0" fontId="7" fillId="2" borderId="10" xfId="3" applyFont="1" applyFill="1" applyBorder="1" applyAlignment="1" applyProtection="1">
      <alignment vertical="center"/>
    </xf>
    <xf numFmtId="0" fontId="7" fillId="2" borderId="36" xfId="3" applyFont="1" applyFill="1" applyBorder="1" applyAlignment="1" applyProtection="1">
      <alignment vertical="center"/>
    </xf>
    <xf numFmtId="0" fontId="7" fillId="2" borderId="37" xfId="3" applyFill="1" applyBorder="1" applyAlignment="1" applyProtection="1">
      <alignment horizontal="left" vertical="top"/>
    </xf>
    <xf numFmtId="0" fontId="7" fillId="2" borderId="6" xfId="3" applyFill="1" applyBorder="1" applyAlignment="1" applyProtection="1">
      <alignment vertical="center"/>
    </xf>
    <xf numFmtId="176" fontId="0" fillId="2" borderId="38" xfId="0" applyNumberFormat="1" applyFill="1" applyBorder="1">
      <alignment vertical="center"/>
    </xf>
    <xf numFmtId="176" fontId="0" fillId="2" borderId="39" xfId="0" applyNumberFormat="1" applyFill="1" applyBorder="1">
      <alignment vertical="center"/>
    </xf>
    <xf numFmtId="176" fontId="0" fillId="2" borderId="40" xfId="0" applyNumberFormat="1" applyFill="1" applyBorder="1">
      <alignment vertical="center"/>
    </xf>
    <xf numFmtId="176" fontId="0" fillId="2" borderId="41" xfId="0" applyNumberFormat="1" applyFill="1" applyBorder="1">
      <alignment vertical="center"/>
    </xf>
    <xf numFmtId="0" fontId="7" fillId="2" borderId="5" xfId="3" applyFill="1" applyBorder="1" applyAlignment="1" applyProtection="1">
      <alignment vertical="center"/>
    </xf>
    <xf numFmtId="0" fontId="7" fillId="2" borderId="12" xfId="3" applyFont="1" applyFill="1" applyBorder="1" applyAlignment="1" applyProtection="1">
      <alignment vertical="center"/>
    </xf>
    <xf numFmtId="0" fontId="0" fillId="2" borderId="0" xfId="3" applyFont="1" applyFill="1" applyBorder="1" applyAlignment="1" applyProtection="1">
      <alignment horizontal="left" vertical="top"/>
    </xf>
    <xf numFmtId="0" fontId="7" fillId="2" borderId="43" xfId="3" applyFont="1" applyFill="1" applyBorder="1" applyAlignment="1" applyProtection="1">
      <alignment vertical="center"/>
    </xf>
    <xf numFmtId="0" fontId="0" fillId="2" borderId="44" xfId="3" applyFont="1" applyFill="1" applyBorder="1" applyAlignment="1" applyProtection="1">
      <alignment horizontal="left" vertical="top"/>
    </xf>
    <xf numFmtId="0" fontId="0" fillId="2" borderId="45" xfId="3" applyFont="1" applyFill="1" applyBorder="1" applyAlignment="1" applyProtection="1">
      <alignment vertical="center"/>
    </xf>
    <xf numFmtId="0" fontId="7" fillId="2" borderId="46" xfId="3" applyFont="1" applyFill="1" applyBorder="1" applyAlignment="1" applyProtection="1">
      <alignment vertical="center"/>
    </xf>
    <xf numFmtId="3" fontId="7" fillId="2" borderId="47" xfId="3" applyNumberFormat="1" applyFill="1" applyBorder="1" applyAlignment="1" applyProtection="1">
      <alignment horizontal="left" vertical="top"/>
    </xf>
    <xf numFmtId="0" fontId="0" fillId="2" borderId="65" xfId="3" applyFont="1" applyFill="1" applyBorder="1" applyAlignment="1" applyProtection="1">
      <alignment vertical="center"/>
    </xf>
    <xf numFmtId="0" fontId="0" fillId="2" borderId="31" xfId="3" applyFont="1" applyFill="1" applyBorder="1" applyProtection="1">
      <alignment vertical="center"/>
    </xf>
    <xf numFmtId="0" fontId="0" fillId="2" borderId="3" xfId="3" applyFont="1" applyFill="1" applyBorder="1" applyAlignment="1" applyProtection="1">
      <alignment vertical="center"/>
    </xf>
    <xf numFmtId="0" fontId="0" fillId="2" borderId="0" xfId="3" applyFont="1" applyFill="1" applyBorder="1" applyProtection="1">
      <alignment vertical="center"/>
    </xf>
    <xf numFmtId="0" fontId="7" fillId="2" borderId="0" xfId="3" applyFill="1" applyBorder="1" applyAlignment="1" applyProtection="1">
      <alignment horizontal="left" vertical="top"/>
    </xf>
    <xf numFmtId="0" fontId="0" fillId="2" borderId="0" xfId="3" applyFont="1" applyFill="1" applyBorder="1" applyAlignment="1" applyProtection="1">
      <alignment vertical="center"/>
    </xf>
    <xf numFmtId="176" fontId="0" fillId="2" borderId="0" xfId="0" applyNumberFormat="1" applyFill="1" applyBorder="1" applyAlignment="1">
      <alignment vertical="center" shrinkToFit="1"/>
    </xf>
    <xf numFmtId="0" fontId="8" fillId="2" borderId="0" xfId="3" applyFont="1" applyFill="1" applyProtection="1">
      <alignment vertical="center"/>
    </xf>
    <xf numFmtId="0" fontId="7" fillId="2" borderId="0" xfId="3" applyFill="1" applyAlignment="1" applyProtection="1">
      <alignment horizontal="left" vertical="top"/>
    </xf>
    <xf numFmtId="0" fontId="7" fillId="2" borderId="0" xfId="3" applyFill="1" applyProtection="1">
      <alignment vertical="center"/>
    </xf>
    <xf numFmtId="178" fontId="8" fillId="2" borderId="0" xfId="4" applyNumberFormat="1" applyFont="1" applyFill="1" applyAlignment="1" applyProtection="1">
      <alignment vertical="center"/>
    </xf>
    <xf numFmtId="0" fontId="0" fillId="2" borderId="36" xfId="3" applyFont="1" applyFill="1" applyBorder="1" applyAlignment="1" applyProtection="1">
      <alignment vertical="center"/>
    </xf>
    <xf numFmtId="0" fontId="7" fillId="2" borderId="51" xfId="3" applyFill="1" applyBorder="1" applyAlignment="1" applyProtection="1">
      <alignment vertical="center"/>
    </xf>
    <xf numFmtId="0" fontId="0" fillId="2" borderId="41" xfId="0" applyFill="1" applyBorder="1">
      <alignment vertical="center"/>
    </xf>
    <xf numFmtId="0" fontId="0" fillId="2" borderId="40" xfId="0" applyFill="1" applyBorder="1">
      <alignment vertical="center"/>
    </xf>
    <xf numFmtId="0" fontId="7" fillId="2" borderId="17" xfId="3" applyFill="1" applyBorder="1" applyAlignment="1" applyProtection="1">
      <alignment vertical="center"/>
    </xf>
    <xf numFmtId="0" fontId="7" fillId="2" borderId="52" xfId="3" applyFill="1" applyBorder="1" applyAlignment="1" applyProtection="1">
      <alignment vertical="center"/>
    </xf>
    <xf numFmtId="0" fontId="7" fillId="2" borderId="5" xfId="3" applyFont="1" applyFill="1" applyBorder="1" applyAlignment="1" applyProtection="1">
      <alignment vertical="center"/>
    </xf>
    <xf numFmtId="0" fontId="7" fillId="2" borderId="29" xfId="3" applyFont="1" applyFill="1" applyBorder="1" applyAlignment="1" applyProtection="1">
      <alignment horizontal="left" vertical="top"/>
    </xf>
    <xf numFmtId="0" fontId="7" fillId="2" borderId="36" xfId="2" applyFill="1" applyBorder="1" applyAlignment="1" applyProtection="1">
      <alignment vertical="center"/>
    </xf>
    <xf numFmtId="0" fontId="7" fillId="2" borderId="40" xfId="3" applyFill="1" applyBorder="1" applyAlignment="1" applyProtection="1">
      <alignment horizontal="left" vertical="top"/>
    </xf>
    <xf numFmtId="0" fontId="7" fillId="2" borderId="17" xfId="3" applyFont="1" applyFill="1" applyBorder="1" applyAlignment="1" applyProtection="1">
      <alignment vertical="center"/>
    </xf>
    <xf numFmtId="0" fontId="0" fillId="2" borderId="23" xfId="3" applyFont="1" applyFill="1" applyBorder="1" applyAlignment="1" applyProtection="1">
      <alignment horizontal="left" vertical="top" wrapText="1"/>
    </xf>
    <xf numFmtId="0" fontId="0" fillId="2" borderId="22" xfId="3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vertical="center"/>
    </xf>
    <xf numFmtId="176" fontId="7" fillId="2" borderId="0" xfId="2" applyNumberFormat="1" applyFont="1" applyFill="1" applyBorder="1" applyAlignment="1" applyProtection="1">
      <alignment vertical="center"/>
    </xf>
    <xf numFmtId="176" fontId="7" fillId="2" borderId="0" xfId="2" applyNumberFormat="1" applyFont="1" applyFill="1" applyBorder="1" applyAlignment="1" applyProtection="1">
      <alignment vertical="center"/>
      <protection locked="0"/>
    </xf>
    <xf numFmtId="0" fontId="7" fillId="2" borderId="35" xfId="3" applyFill="1" applyBorder="1" applyAlignment="1" applyProtection="1">
      <alignment horizontal="left" vertical="top"/>
    </xf>
    <xf numFmtId="0" fontId="7" fillId="2" borderId="10" xfId="3" applyFont="1" applyFill="1" applyBorder="1" applyAlignment="1" applyProtection="1">
      <alignment horizontal="left" vertical="top"/>
    </xf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0" fillId="2" borderId="0" xfId="0" applyNumberFormat="1" applyFill="1" applyBorder="1">
      <alignment vertical="center"/>
    </xf>
    <xf numFmtId="0" fontId="7" fillId="2" borderId="1" xfId="2" applyFill="1" applyBorder="1" applyAlignment="1" applyProtection="1">
      <alignment horizontal="center" vertical="center"/>
    </xf>
    <xf numFmtId="0" fontId="7" fillId="2" borderId="2" xfId="2" applyFill="1" applyBorder="1" applyAlignment="1" applyProtection="1">
      <alignment horizontal="center" vertical="center"/>
    </xf>
    <xf numFmtId="0" fontId="7" fillId="2" borderId="3" xfId="2" applyFill="1" applyBorder="1" applyAlignment="1" applyProtection="1">
      <alignment horizontal="center" vertical="center"/>
    </xf>
    <xf numFmtId="0" fontId="7" fillId="2" borderId="31" xfId="3" applyFont="1" applyFill="1" applyBorder="1" applyAlignment="1" applyProtection="1">
      <alignment vertical="center"/>
    </xf>
    <xf numFmtId="0" fontId="7" fillId="2" borderId="32" xfId="3" applyFill="1" applyBorder="1" applyAlignment="1" applyProtection="1">
      <alignment horizontal="left" vertical="top"/>
    </xf>
    <xf numFmtId="0" fontId="7" fillId="2" borderId="32" xfId="3" applyFill="1" applyBorder="1" applyAlignment="1" applyProtection="1">
      <alignment horizontal="center" vertical="center"/>
    </xf>
    <xf numFmtId="0" fontId="7" fillId="2" borderId="0" xfId="3" applyFill="1" applyBorder="1" applyAlignment="1" applyProtection="1">
      <alignment vertical="center"/>
    </xf>
    <xf numFmtId="0" fontId="0" fillId="2" borderId="0" xfId="3" applyFont="1" applyFill="1" applyBorder="1" applyAlignment="1" applyProtection="1">
      <alignment vertical="center"/>
    </xf>
    <xf numFmtId="176" fontId="0" fillId="2" borderId="0" xfId="0" applyNumberForma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7" fillId="2" borderId="4" xfId="2" applyFill="1" applyBorder="1" applyAlignment="1" applyProtection="1">
      <alignment horizontal="center" vertical="center"/>
    </xf>
    <xf numFmtId="0" fontId="0" fillId="2" borderId="32" xfId="0" applyFill="1" applyBorder="1" applyAlignment="1">
      <alignment horizontal="left" vertical="top"/>
    </xf>
    <xf numFmtId="0" fontId="28" fillId="2" borderId="73" xfId="81" applyFont="1" applyFill="1" applyBorder="1" applyAlignment="1" applyProtection="1">
      <alignment vertical="center"/>
    </xf>
    <xf numFmtId="0" fontId="28" fillId="2" borderId="8" xfId="81" applyFont="1" applyFill="1" applyBorder="1" applyAlignment="1" applyProtection="1">
      <alignment vertical="center"/>
    </xf>
    <xf numFmtId="180" fontId="25" fillId="2" borderId="0" xfId="55" applyNumberFormat="1" applyFill="1" applyBorder="1" applyAlignment="1">
      <alignment horizontal="right" vertical="center"/>
    </xf>
    <xf numFmtId="181" fontId="25" fillId="2" borderId="0" xfId="55" applyNumberFormat="1" applyFill="1" applyBorder="1" applyAlignment="1">
      <alignment horizontal="right" vertical="center"/>
    </xf>
    <xf numFmtId="0" fontId="25" fillId="2" borderId="4" xfId="55" applyFill="1" applyBorder="1" applyAlignment="1">
      <alignment horizontal="center" vertical="center"/>
    </xf>
    <xf numFmtId="0" fontId="25" fillId="2" borderId="2" xfId="55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8" fillId="2" borderId="67" xfId="81" applyFont="1" applyFill="1" applyBorder="1" applyAlignment="1" applyProtection="1">
      <alignment vertical="center"/>
    </xf>
    <xf numFmtId="0" fontId="28" fillId="2" borderId="12" xfId="81" applyFont="1" applyFill="1" applyBorder="1" applyAlignment="1" applyProtection="1">
      <alignment vertical="center"/>
    </xf>
    <xf numFmtId="0" fontId="25" fillId="2" borderId="31" xfId="55" applyFill="1" applyBorder="1">
      <alignment vertical="center"/>
    </xf>
    <xf numFmtId="0" fontId="7" fillId="2" borderId="2" xfId="2" applyFill="1" applyBorder="1" applyAlignment="1" applyProtection="1">
      <alignment horizontal="center" vertical="center"/>
    </xf>
    <xf numFmtId="0" fontId="7" fillId="2" borderId="33" xfId="2" applyFill="1" applyBorder="1" applyAlignment="1" applyProtection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>
      <alignment vertical="center"/>
    </xf>
    <xf numFmtId="0" fontId="28" fillId="2" borderId="0" xfId="81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right" vertical="center"/>
    </xf>
    <xf numFmtId="0" fontId="25" fillId="2" borderId="32" xfId="55" applyFill="1" applyBorder="1">
      <alignment vertical="center"/>
    </xf>
    <xf numFmtId="0" fontId="28" fillId="2" borderId="71" xfId="81" applyFont="1" applyFill="1" applyBorder="1" applyAlignment="1" applyProtection="1">
      <alignment vertical="center"/>
    </xf>
    <xf numFmtId="0" fontId="25" fillId="2" borderId="71" xfId="55" applyFill="1" applyBorder="1">
      <alignment vertical="center"/>
    </xf>
    <xf numFmtId="0" fontId="28" fillId="2" borderId="65" xfId="81" applyFont="1" applyFill="1" applyBorder="1" applyAlignment="1" applyProtection="1">
      <alignment vertical="center"/>
    </xf>
    <xf numFmtId="0" fontId="25" fillId="2" borderId="1" xfId="55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2" borderId="31" xfId="2" applyFill="1" applyBorder="1" applyAlignment="1" applyProtection="1">
      <alignment horizontal="center" vertical="center"/>
    </xf>
    <xf numFmtId="0" fontId="2" fillId="0" borderId="89" xfId="0" applyFont="1" applyBorder="1">
      <alignment vertical="center"/>
    </xf>
    <xf numFmtId="176" fontId="0" fillId="2" borderId="90" xfId="0" applyNumberFormat="1" applyFill="1" applyBorder="1" applyAlignment="1">
      <alignment vertical="center" shrinkToFit="1"/>
    </xf>
    <xf numFmtId="176" fontId="0" fillId="2" borderId="91" xfId="0" applyNumberFormat="1" applyFill="1" applyBorder="1" applyAlignment="1">
      <alignment vertical="center" shrinkToFit="1"/>
    </xf>
    <xf numFmtId="176" fontId="0" fillId="2" borderId="92" xfId="0" applyNumberFormat="1" applyFill="1" applyBorder="1" applyAlignment="1">
      <alignment vertical="center" shrinkToFit="1"/>
    </xf>
    <xf numFmtId="176" fontId="0" fillId="2" borderId="90" xfId="0" applyNumberFormat="1" applyFill="1" applyBorder="1">
      <alignment vertical="center"/>
    </xf>
    <xf numFmtId="176" fontId="0" fillId="2" borderId="91" xfId="0" applyNumberFormat="1" applyFill="1" applyBorder="1">
      <alignment vertical="center"/>
    </xf>
    <xf numFmtId="176" fontId="0" fillId="2" borderId="92" xfId="0" applyNumberFormat="1" applyFill="1" applyBorder="1">
      <alignment vertical="center"/>
    </xf>
    <xf numFmtId="0" fontId="0" fillId="2" borderId="94" xfId="0" applyFill="1" applyBorder="1">
      <alignment vertical="center"/>
    </xf>
    <xf numFmtId="0" fontId="7" fillId="2" borderId="34" xfId="2" applyFill="1" applyBorder="1" applyAlignment="1" applyProtection="1">
      <alignment horizontal="center" vertical="center"/>
    </xf>
    <xf numFmtId="0" fontId="0" fillId="2" borderId="35" xfId="0" applyFill="1" applyBorder="1">
      <alignment vertical="center"/>
    </xf>
    <xf numFmtId="176" fontId="0" fillId="2" borderId="37" xfId="0" applyNumberFormat="1" applyFill="1" applyBorder="1">
      <alignment vertical="center"/>
    </xf>
    <xf numFmtId="0" fontId="0" fillId="2" borderId="97" xfId="0" applyFill="1" applyBorder="1">
      <alignment vertical="center"/>
    </xf>
    <xf numFmtId="176" fontId="0" fillId="2" borderId="7" xfId="0" applyNumberForma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2" xfId="3" applyFont="1" applyFill="1" applyBorder="1" applyAlignment="1" applyProtection="1">
      <alignment vertical="center"/>
    </xf>
    <xf numFmtId="0" fontId="0" fillId="2" borderId="43" xfId="3" applyFont="1" applyFill="1" applyBorder="1" applyAlignment="1" applyProtection="1">
      <alignment vertical="center"/>
    </xf>
    <xf numFmtId="0" fontId="7" fillId="2" borderId="51" xfId="3" applyFill="1" applyBorder="1" applyAlignment="1" applyProtection="1">
      <alignment horizontal="left" vertical="top"/>
    </xf>
    <xf numFmtId="0" fontId="0" fillId="2" borderId="51" xfId="3" applyFont="1" applyFill="1" applyBorder="1" applyAlignment="1" applyProtection="1">
      <alignment vertical="center"/>
    </xf>
    <xf numFmtId="0" fontId="0" fillId="2" borderId="96" xfId="3" applyFont="1" applyFill="1" applyBorder="1" applyAlignment="1" applyProtection="1">
      <alignment vertical="center"/>
    </xf>
    <xf numFmtId="0" fontId="7" fillId="2" borderId="94" xfId="3" applyFill="1" applyBorder="1" applyAlignment="1" applyProtection="1">
      <alignment horizontal="left" vertical="top"/>
    </xf>
    <xf numFmtId="0" fontId="0" fillId="2" borderId="94" xfId="3" applyFont="1" applyFill="1" applyBorder="1" applyAlignment="1" applyProtection="1">
      <alignment vertical="center"/>
    </xf>
    <xf numFmtId="0" fontId="7" fillId="2" borderId="71" xfId="3" applyFill="1" applyBorder="1" applyAlignment="1" applyProtection="1">
      <alignment horizontal="left" vertical="top"/>
    </xf>
    <xf numFmtId="0" fontId="7" fillId="2" borderId="73" xfId="3" applyFont="1" applyFill="1" applyBorder="1" applyAlignment="1" applyProtection="1">
      <alignment vertical="center"/>
    </xf>
    <xf numFmtId="0" fontId="0" fillId="2" borderId="98" xfId="3" applyFont="1" applyFill="1" applyBorder="1" applyAlignment="1" applyProtection="1">
      <alignment vertical="center"/>
    </xf>
    <xf numFmtId="0" fontId="0" fillId="2" borderId="8" xfId="3" applyFont="1" applyFill="1" applyBorder="1" applyAlignment="1" applyProtection="1">
      <alignment vertical="center"/>
    </xf>
    <xf numFmtId="0" fontId="7" fillId="2" borderId="10" xfId="3" applyFill="1" applyBorder="1" applyAlignment="1" applyProtection="1">
      <alignment horizontal="left" vertical="top"/>
    </xf>
    <xf numFmtId="0" fontId="0" fillId="2" borderId="52" xfId="3" applyFont="1" applyFill="1" applyBorder="1" applyAlignment="1" applyProtection="1">
      <alignment vertical="center"/>
    </xf>
    <xf numFmtId="0" fontId="7" fillId="2" borderId="77" xfId="2" applyFill="1" applyBorder="1" applyAlignment="1" applyProtection="1">
      <alignment vertical="center"/>
    </xf>
    <xf numFmtId="0" fontId="7" fillId="2" borderId="74" xfId="3" applyFill="1" applyBorder="1" applyAlignment="1" applyProtection="1">
      <alignment horizontal="left" vertical="top"/>
    </xf>
    <xf numFmtId="0" fontId="0" fillId="2" borderId="85" xfId="3" applyFont="1" applyFill="1" applyBorder="1" applyAlignment="1" applyProtection="1">
      <alignment vertical="center"/>
    </xf>
    <xf numFmtId="0" fontId="0" fillId="2" borderId="6" xfId="0" applyFill="1" applyBorder="1" applyAlignment="1">
      <alignment horizontal="left" vertical="top"/>
    </xf>
    <xf numFmtId="0" fontId="0" fillId="2" borderId="6" xfId="0" applyFill="1" applyBorder="1">
      <alignment vertical="center"/>
    </xf>
    <xf numFmtId="0" fontId="0" fillId="2" borderId="96" xfId="0" applyFill="1" applyBorder="1">
      <alignment vertical="center"/>
    </xf>
    <xf numFmtId="0" fontId="0" fillId="2" borderId="94" xfId="0" applyFill="1" applyBorder="1" applyAlignment="1">
      <alignment horizontal="left" vertical="top"/>
    </xf>
    <xf numFmtId="176" fontId="0" fillId="2" borderId="99" xfId="0" applyNumberFormat="1" applyFill="1" applyBorder="1" applyAlignment="1">
      <alignment vertical="center" shrinkToFit="1"/>
    </xf>
    <xf numFmtId="176" fontId="0" fillId="2" borderId="99" xfId="0" applyNumberFormat="1" applyFill="1" applyBorder="1">
      <alignment vertical="center"/>
    </xf>
    <xf numFmtId="176" fontId="0" fillId="2" borderId="100" xfId="0" applyNumberFormat="1" applyFill="1" applyBorder="1" applyAlignment="1">
      <alignment vertical="center" shrinkToFit="1"/>
    </xf>
    <xf numFmtId="176" fontId="0" fillId="2" borderId="101" xfId="0" applyNumberFormat="1" applyFill="1" applyBorder="1" applyAlignment="1">
      <alignment vertical="center" shrinkToFit="1"/>
    </xf>
    <xf numFmtId="0" fontId="7" fillId="2" borderId="9" xfId="3" applyFont="1" applyFill="1" applyBorder="1" applyAlignment="1" applyProtection="1">
      <alignment horizontal="left" vertical="top" wrapText="1"/>
    </xf>
    <xf numFmtId="0" fontId="7" fillId="2" borderId="9" xfId="3" applyFont="1" applyFill="1" applyBorder="1" applyAlignment="1" applyProtection="1">
      <alignment horizontal="left" vertical="top"/>
    </xf>
    <xf numFmtId="0" fontId="30" fillId="2" borderId="3" xfId="2" applyFont="1" applyFill="1" applyBorder="1" applyAlignment="1" applyProtection="1">
      <alignment horizontal="center" vertical="center" wrapText="1"/>
    </xf>
    <xf numFmtId="0" fontId="30" fillId="2" borderId="4" xfId="2" applyFont="1" applyFill="1" applyBorder="1" applyAlignment="1" applyProtection="1">
      <alignment horizontal="center" vertical="center" wrapText="1"/>
    </xf>
    <xf numFmtId="0" fontId="7" fillId="2" borderId="36" xfId="2" applyFill="1" applyBorder="1" applyAlignment="1" applyProtection="1">
      <alignment horizontal="center" vertical="center"/>
    </xf>
    <xf numFmtId="0" fontId="7" fillId="2" borderId="104" xfId="2" applyFill="1" applyBorder="1" applyAlignment="1" applyProtection="1">
      <alignment horizontal="center" vertical="center"/>
    </xf>
    <xf numFmtId="0" fontId="7" fillId="2" borderId="45" xfId="2" applyFill="1" applyBorder="1" applyAlignment="1" applyProtection="1">
      <alignment horizontal="center" vertical="center"/>
    </xf>
    <xf numFmtId="0" fontId="7" fillId="2" borderId="44" xfId="2" applyFill="1" applyBorder="1" applyAlignment="1" applyProtection="1">
      <alignment horizontal="center" vertical="center"/>
    </xf>
    <xf numFmtId="176" fontId="7" fillId="25" borderId="8" xfId="2" applyNumberFormat="1" applyFont="1" applyFill="1" applyBorder="1" applyAlignment="1" applyProtection="1">
      <alignment vertical="center"/>
    </xf>
    <xf numFmtId="176" fontId="7" fillId="25" borderId="25" xfId="2" applyNumberFormat="1" applyFont="1" applyFill="1" applyBorder="1" applyAlignment="1" applyProtection="1">
      <alignment vertical="center"/>
    </xf>
    <xf numFmtId="176" fontId="7" fillId="25" borderId="26" xfId="2" applyNumberFormat="1" applyFill="1" applyBorder="1" applyAlignment="1" applyProtection="1">
      <alignment vertical="center"/>
      <protection locked="0"/>
    </xf>
    <xf numFmtId="176" fontId="7" fillId="25" borderId="24" xfId="2" applyNumberFormat="1" applyFont="1" applyFill="1" applyBorder="1" applyAlignment="1" applyProtection="1">
      <alignment vertical="center"/>
      <protection locked="0"/>
    </xf>
    <xf numFmtId="176" fontId="7" fillId="25" borderId="26" xfId="2" applyNumberFormat="1" applyFont="1" applyFill="1" applyBorder="1" applyAlignment="1" applyProtection="1">
      <alignment vertical="center"/>
      <protection locked="0"/>
    </xf>
    <xf numFmtId="176" fontId="7" fillId="25" borderId="20" xfId="2" applyNumberFormat="1" applyFont="1" applyFill="1" applyBorder="1" applyAlignment="1" applyProtection="1">
      <alignment vertical="center"/>
    </xf>
    <xf numFmtId="176" fontId="7" fillId="25" borderId="21" xfId="2" applyNumberFormat="1" applyFont="1" applyFill="1" applyBorder="1" applyAlignment="1" applyProtection="1">
      <alignment vertical="center"/>
      <protection locked="0"/>
    </xf>
    <xf numFmtId="176" fontId="7" fillId="25" borderId="18" xfId="2" applyNumberFormat="1" applyFont="1" applyFill="1" applyBorder="1" applyAlignment="1" applyProtection="1">
      <alignment vertical="center"/>
      <protection locked="0"/>
    </xf>
    <xf numFmtId="176" fontId="7" fillId="25" borderId="73" xfId="2" applyNumberFormat="1" applyFont="1" applyFill="1" applyBorder="1" applyAlignment="1" applyProtection="1">
      <alignment vertical="center"/>
      <protection locked="0"/>
    </xf>
    <xf numFmtId="176" fontId="7" fillId="25" borderId="67" xfId="2" applyNumberFormat="1" applyFont="1" applyFill="1" applyBorder="1" applyAlignment="1" applyProtection="1">
      <alignment vertical="center"/>
      <protection locked="0"/>
    </xf>
    <xf numFmtId="176" fontId="7" fillId="26" borderId="10" xfId="2" applyNumberFormat="1" applyFont="1" applyFill="1" applyBorder="1" applyAlignment="1" applyProtection="1">
      <alignment vertical="center"/>
    </xf>
    <xf numFmtId="176" fontId="7" fillId="26" borderId="24" xfId="2" applyNumberFormat="1" applyFont="1" applyFill="1" applyBorder="1" applyAlignment="1" applyProtection="1">
      <alignment vertical="center"/>
    </xf>
    <xf numFmtId="176" fontId="32" fillId="25" borderId="75" xfId="2" applyNumberFormat="1" applyFont="1" applyFill="1" applyBorder="1" applyAlignment="1" applyProtection="1">
      <alignment vertical="center"/>
      <protection locked="0"/>
    </xf>
    <xf numFmtId="176" fontId="32" fillId="25" borderId="79" xfId="2" applyNumberFormat="1" applyFont="1" applyFill="1" applyBorder="1" applyAlignment="1" applyProtection="1">
      <alignment vertical="center"/>
      <protection locked="0"/>
    </xf>
    <xf numFmtId="176" fontId="32" fillId="25" borderId="15" xfId="2" applyNumberFormat="1" applyFont="1" applyFill="1" applyBorder="1" applyAlignment="1" applyProtection="1">
      <alignment vertical="center"/>
      <protection locked="0"/>
    </xf>
    <xf numFmtId="176" fontId="32" fillId="25" borderId="16" xfId="2" applyNumberFormat="1" applyFont="1" applyFill="1" applyBorder="1" applyAlignment="1" applyProtection="1">
      <alignment vertical="center"/>
      <protection locked="0"/>
    </xf>
    <xf numFmtId="176" fontId="32" fillId="25" borderId="13" xfId="2" applyNumberFormat="1" applyFont="1" applyFill="1" applyBorder="1" applyAlignment="1" applyProtection="1">
      <alignment vertical="center"/>
      <protection locked="0"/>
    </xf>
    <xf numFmtId="176" fontId="31" fillId="25" borderId="85" xfId="0" applyNumberFormat="1" applyFont="1" applyFill="1" applyBorder="1">
      <alignment vertical="center"/>
    </xf>
    <xf numFmtId="176" fontId="7" fillId="26" borderId="52" xfId="2" applyNumberFormat="1" applyFont="1" applyFill="1" applyBorder="1" applyAlignment="1" applyProtection="1">
      <alignment vertical="center"/>
    </xf>
    <xf numFmtId="176" fontId="7" fillId="26" borderId="39" xfId="2" applyNumberFormat="1" applyFont="1" applyFill="1" applyBorder="1" applyAlignment="1" applyProtection="1">
      <alignment vertical="center"/>
    </xf>
    <xf numFmtId="176" fontId="7" fillId="26" borderId="27" xfId="2" applyNumberFormat="1" applyFont="1" applyFill="1" applyBorder="1" applyAlignment="1" applyProtection="1">
      <alignment vertical="center"/>
    </xf>
    <xf numFmtId="176" fontId="7" fillId="26" borderId="8" xfId="2" applyNumberFormat="1" applyFont="1" applyFill="1" applyBorder="1" applyAlignment="1" applyProtection="1">
      <alignment vertical="center"/>
    </xf>
    <xf numFmtId="176" fontId="7" fillId="26" borderId="9" xfId="2" applyNumberFormat="1" applyFont="1" applyFill="1" applyBorder="1" applyAlignment="1" applyProtection="1">
      <alignment vertical="center"/>
    </xf>
    <xf numFmtId="176" fontId="7" fillId="25" borderId="77" xfId="2" applyNumberFormat="1" applyFont="1" applyFill="1" applyBorder="1" applyAlignment="1" applyProtection="1">
      <alignment vertical="center"/>
      <protection locked="0"/>
    </xf>
    <xf numFmtId="0" fontId="7" fillId="2" borderId="74" xfId="2" applyFont="1" applyFill="1" applyBorder="1" applyAlignment="1" applyProtection="1">
      <alignment horizontal="left" vertical="center"/>
    </xf>
    <xf numFmtId="176" fontId="32" fillId="25" borderId="77" xfId="2" applyNumberFormat="1" applyFont="1" applyFill="1" applyBorder="1" applyAlignment="1" applyProtection="1">
      <alignment vertical="center"/>
      <protection locked="0"/>
    </xf>
    <xf numFmtId="176" fontId="32" fillId="25" borderId="74" xfId="2" applyNumberFormat="1" applyFont="1" applyFill="1" applyBorder="1" applyAlignment="1" applyProtection="1">
      <alignment vertical="center"/>
      <protection locked="0"/>
    </xf>
    <xf numFmtId="0" fontId="0" fillId="2" borderId="51" xfId="0" applyFill="1" applyBorder="1">
      <alignment vertical="center"/>
    </xf>
    <xf numFmtId="0" fontId="0" fillId="2" borderId="51" xfId="0" applyFill="1" applyBorder="1" applyAlignment="1">
      <alignment horizontal="left" vertical="top"/>
    </xf>
    <xf numFmtId="176" fontId="7" fillId="26" borderId="25" xfId="2" applyNumberFormat="1" applyFont="1" applyFill="1" applyBorder="1" applyAlignment="1" applyProtection="1">
      <alignment vertical="center"/>
    </xf>
    <xf numFmtId="176" fontId="7" fillId="26" borderId="26" xfId="2" applyNumberFormat="1" applyFont="1" applyFill="1" applyBorder="1" applyAlignment="1" applyProtection="1">
      <alignment vertical="center"/>
    </xf>
    <xf numFmtId="176" fontId="7" fillId="26" borderId="73" xfId="2" applyNumberFormat="1" applyFont="1" applyFill="1" applyBorder="1" applyAlignment="1" applyProtection="1">
      <alignment vertical="center"/>
    </xf>
    <xf numFmtId="14" fontId="0" fillId="0" borderId="0" xfId="0" applyNumberFormat="1" applyAlignment="1">
      <alignment horizontal="left" vertical="center"/>
    </xf>
    <xf numFmtId="0" fontId="27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14" fontId="0" fillId="2" borderId="0" xfId="0" applyNumberFormat="1" applyFill="1" applyAlignment="1">
      <alignment horizontal="left" vertical="center"/>
    </xf>
    <xf numFmtId="176" fontId="31" fillId="25" borderId="36" xfId="0" applyNumberFormat="1" applyFont="1" applyFill="1" applyBorder="1">
      <alignment vertical="center"/>
    </xf>
    <xf numFmtId="176" fontId="31" fillId="25" borderId="39" xfId="0" applyNumberFormat="1" applyFont="1" applyFill="1" applyBorder="1">
      <alignment vertical="center"/>
    </xf>
    <xf numFmtId="176" fontId="31" fillId="25" borderId="40" xfId="0" applyNumberFormat="1" applyFont="1" applyFill="1" applyBorder="1">
      <alignment vertical="center"/>
    </xf>
    <xf numFmtId="176" fontId="31" fillId="25" borderId="41" xfId="0" applyNumberFormat="1" applyFont="1" applyFill="1" applyBorder="1">
      <alignment vertical="center"/>
    </xf>
    <xf numFmtId="176" fontId="31" fillId="25" borderId="38" xfId="0" applyNumberFormat="1" applyFont="1" applyFill="1" applyBorder="1">
      <alignment vertical="center"/>
    </xf>
    <xf numFmtId="176" fontId="31" fillId="25" borderId="67" xfId="0" applyNumberFormat="1" applyFont="1" applyFill="1" applyBorder="1">
      <alignment vertical="center"/>
    </xf>
    <xf numFmtId="176" fontId="31" fillId="25" borderId="66" xfId="0" applyNumberFormat="1" applyFont="1" applyFill="1" applyBorder="1">
      <alignment vertical="center"/>
    </xf>
    <xf numFmtId="176" fontId="31" fillId="25" borderId="65" xfId="0" applyNumberFormat="1" applyFont="1" applyFill="1" applyBorder="1">
      <alignment vertical="center"/>
    </xf>
    <xf numFmtId="176" fontId="31" fillId="25" borderId="76" xfId="0" applyNumberFormat="1" applyFont="1" applyFill="1" applyBorder="1">
      <alignment vertical="center"/>
    </xf>
    <xf numFmtId="176" fontId="31" fillId="25" borderId="8" xfId="0" applyNumberFormat="1" applyFont="1" applyFill="1" applyBorder="1">
      <alignment vertical="center"/>
    </xf>
    <xf numFmtId="176" fontId="31" fillId="25" borderId="27" xfId="0" applyNumberFormat="1" applyFont="1" applyFill="1" applyBorder="1">
      <alignment vertical="center"/>
    </xf>
    <xf numFmtId="176" fontId="31" fillId="25" borderId="9" xfId="0" applyNumberFormat="1" applyFont="1" applyFill="1" applyBorder="1">
      <alignment vertical="center"/>
    </xf>
    <xf numFmtId="176" fontId="31" fillId="25" borderId="73" xfId="0" applyNumberFormat="1" applyFont="1" applyFill="1" applyBorder="1" applyAlignment="1">
      <alignment vertical="center" shrinkToFit="1"/>
    </xf>
    <xf numFmtId="176" fontId="31" fillId="25" borderId="72" xfId="0" applyNumberFormat="1" applyFont="1" applyFill="1" applyBorder="1" applyAlignment="1">
      <alignment vertical="center" shrinkToFit="1"/>
    </xf>
    <xf numFmtId="176" fontId="31" fillId="25" borderId="69" xfId="0" applyNumberFormat="1" applyFont="1" applyFill="1" applyBorder="1" applyAlignment="1">
      <alignment vertical="center" shrinkToFit="1"/>
    </xf>
    <xf numFmtId="176" fontId="31" fillId="25" borderId="77" xfId="0" applyNumberFormat="1" applyFont="1" applyFill="1" applyBorder="1">
      <alignment vertical="center"/>
    </xf>
    <xf numFmtId="176" fontId="31" fillId="25" borderId="79" xfId="0" applyNumberFormat="1" applyFont="1" applyFill="1" applyBorder="1">
      <alignment vertical="center"/>
    </xf>
    <xf numFmtId="176" fontId="31" fillId="25" borderId="75" xfId="0" applyNumberFormat="1" applyFont="1" applyFill="1" applyBorder="1">
      <alignment vertical="center"/>
    </xf>
    <xf numFmtId="176" fontId="31" fillId="25" borderId="71" xfId="0" applyNumberFormat="1" applyFont="1" applyFill="1" applyBorder="1" applyAlignment="1">
      <alignment vertical="center" shrinkToFit="1"/>
    </xf>
    <xf numFmtId="176" fontId="31" fillId="25" borderId="74" xfId="0" applyNumberFormat="1" applyFont="1" applyFill="1" applyBorder="1">
      <alignment vertical="center"/>
    </xf>
    <xf numFmtId="176" fontId="31" fillId="25" borderId="10" xfId="0" applyNumberFormat="1" applyFont="1" applyFill="1" applyBorder="1">
      <alignment vertical="center"/>
    </xf>
    <xf numFmtId="176" fontId="31" fillId="26" borderId="1" xfId="0" applyNumberFormat="1" applyFont="1" applyFill="1" applyBorder="1" applyAlignment="1">
      <alignment vertical="center" shrinkToFit="1"/>
    </xf>
    <xf numFmtId="176" fontId="31" fillId="26" borderId="2" xfId="0" applyNumberFormat="1" applyFont="1" applyFill="1" applyBorder="1" applyAlignment="1">
      <alignment vertical="center" shrinkToFit="1"/>
    </xf>
    <xf numFmtId="176" fontId="31" fillId="26" borderId="3" xfId="0" applyNumberFormat="1" applyFont="1" applyFill="1" applyBorder="1" applyAlignment="1">
      <alignment vertical="center" shrinkToFit="1"/>
    </xf>
    <xf numFmtId="176" fontId="31" fillId="26" borderId="34" xfId="0" applyNumberFormat="1" applyFont="1" applyFill="1" applyBorder="1" applyAlignment="1">
      <alignment vertical="center" shrinkToFit="1"/>
    </xf>
    <xf numFmtId="176" fontId="0" fillId="25" borderId="17" xfId="0" applyNumberFormat="1" applyFill="1" applyBorder="1" applyAlignment="1">
      <alignment vertical="center" shrinkToFit="1"/>
    </xf>
    <xf numFmtId="176" fontId="0" fillId="25" borderId="30" xfId="0" applyNumberFormat="1" applyFill="1" applyBorder="1" applyAlignment="1">
      <alignment vertical="center" shrinkToFit="1"/>
    </xf>
    <xf numFmtId="176" fontId="0" fillId="25" borderId="49" xfId="0" applyNumberFormat="1" applyFill="1" applyBorder="1" applyAlignment="1">
      <alignment vertical="center" shrinkToFit="1"/>
    </xf>
    <xf numFmtId="176" fontId="31" fillId="25" borderId="48" xfId="0" applyNumberFormat="1" applyFont="1" applyFill="1" applyBorder="1">
      <alignment vertical="center"/>
    </xf>
    <xf numFmtId="176" fontId="31" fillId="25" borderId="50" xfId="0" applyNumberFormat="1" applyFont="1" applyFill="1" applyBorder="1">
      <alignment vertical="center"/>
    </xf>
    <xf numFmtId="182" fontId="25" fillId="25" borderId="41" xfId="55" applyNumberFormat="1" applyFill="1" applyBorder="1" applyAlignment="1">
      <alignment horizontal="right" vertical="center"/>
    </xf>
    <xf numFmtId="182" fontId="25" fillId="25" borderId="39" xfId="55" applyNumberFormat="1" applyFill="1" applyBorder="1" applyAlignment="1">
      <alignment horizontal="right" vertical="center"/>
    </xf>
    <xf numFmtId="182" fontId="25" fillId="25" borderId="73" xfId="55" applyNumberFormat="1" applyFill="1" applyBorder="1" applyAlignment="1">
      <alignment horizontal="right" vertical="center"/>
    </xf>
    <xf numFmtId="182" fontId="25" fillId="25" borderId="69" xfId="55" applyNumberFormat="1" applyFill="1" applyBorder="1" applyAlignment="1">
      <alignment horizontal="right" vertical="center"/>
    </xf>
    <xf numFmtId="182" fontId="25" fillId="25" borderId="67" xfId="55" applyNumberFormat="1" applyFill="1" applyBorder="1" applyAlignment="1">
      <alignment horizontal="right" vertical="center"/>
    </xf>
    <xf numFmtId="182" fontId="25" fillId="25" borderId="66" xfId="55" applyNumberFormat="1" applyFill="1" applyBorder="1" applyAlignment="1">
      <alignment horizontal="right" vertical="center"/>
    </xf>
    <xf numFmtId="176" fontId="0" fillId="25" borderId="73" xfId="0" applyNumberFormat="1" applyFill="1" applyBorder="1">
      <alignment vertical="center"/>
    </xf>
    <xf numFmtId="176" fontId="0" fillId="25" borderId="69" xfId="0" applyNumberFormat="1" applyFill="1" applyBorder="1">
      <alignment vertical="center"/>
    </xf>
    <xf numFmtId="177" fontId="0" fillId="25" borderId="73" xfId="0" applyNumberFormat="1" applyFill="1" applyBorder="1">
      <alignment vertical="center"/>
    </xf>
    <xf numFmtId="177" fontId="0" fillId="25" borderId="69" xfId="0" applyNumberFormat="1" applyFill="1" applyBorder="1">
      <alignment vertical="center"/>
    </xf>
    <xf numFmtId="176" fontId="0" fillId="25" borderId="73" xfId="0" applyNumberFormat="1" applyFill="1" applyBorder="1" applyAlignment="1">
      <alignment vertical="center" shrinkToFit="1"/>
    </xf>
    <xf numFmtId="176" fontId="0" fillId="25" borderId="69" xfId="0" applyNumberFormat="1" applyFill="1" applyBorder="1" applyAlignment="1">
      <alignment vertical="center" shrinkToFit="1"/>
    </xf>
    <xf numFmtId="176" fontId="0" fillId="25" borderId="77" xfId="0" applyNumberFormat="1" applyFill="1" applyBorder="1">
      <alignment vertical="center"/>
    </xf>
    <xf numFmtId="176" fontId="0" fillId="25" borderId="75" xfId="0" applyNumberFormat="1" applyFill="1" applyBorder="1">
      <alignment vertical="center"/>
    </xf>
    <xf numFmtId="176" fontId="0" fillId="25" borderId="41" xfId="0" applyNumberFormat="1" applyFill="1" applyBorder="1" applyAlignment="1">
      <alignment vertical="center" shrinkToFit="1"/>
    </xf>
    <xf numFmtId="176" fontId="0" fillId="25" borderId="39" xfId="0" applyNumberFormat="1" applyFill="1" applyBorder="1" applyAlignment="1">
      <alignment vertical="center" shrinkToFit="1"/>
    </xf>
    <xf numFmtId="176" fontId="0" fillId="25" borderId="67" xfId="0" applyNumberFormat="1" applyFill="1" applyBorder="1">
      <alignment vertical="center"/>
    </xf>
    <xf numFmtId="176" fontId="0" fillId="25" borderId="66" xfId="0" applyNumberFormat="1" applyFill="1" applyBorder="1">
      <alignment vertical="center"/>
    </xf>
    <xf numFmtId="176" fontId="31" fillId="26" borderId="17" xfId="0" applyNumberFormat="1" applyFont="1" applyFill="1" applyBorder="1" applyAlignment="1">
      <alignment vertical="center" shrinkToFit="1"/>
    </xf>
    <xf numFmtId="176" fontId="31" fillId="26" borderId="30" xfId="0" applyNumberFormat="1" applyFont="1" applyFill="1" applyBorder="1" applyAlignment="1">
      <alignment vertical="center" shrinkToFit="1"/>
    </xf>
    <xf numFmtId="176" fontId="0" fillId="25" borderId="71" xfId="0" applyNumberFormat="1" applyFill="1" applyBorder="1">
      <alignment vertical="center"/>
    </xf>
    <xf numFmtId="177" fontId="0" fillId="25" borderId="71" xfId="0" applyNumberFormat="1" applyFill="1" applyBorder="1">
      <alignment vertical="center"/>
    </xf>
    <xf numFmtId="176" fontId="0" fillId="25" borderId="71" xfId="0" applyNumberFormat="1" applyFill="1" applyBorder="1" applyAlignment="1">
      <alignment vertical="center" shrinkToFit="1"/>
    </xf>
    <xf numFmtId="176" fontId="0" fillId="25" borderId="74" xfId="0" applyNumberFormat="1" applyFill="1" applyBorder="1">
      <alignment vertical="center"/>
    </xf>
    <xf numFmtId="176" fontId="0" fillId="25" borderId="40" xfId="0" applyNumberFormat="1" applyFill="1" applyBorder="1" applyAlignment="1">
      <alignment vertical="center" shrinkToFit="1"/>
    </xf>
    <xf numFmtId="176" fontId="0" fillId="25" borderId="65" xfId="0" applyNumberFormat="1" applyFill="1" applyBorder="1">
      <alignment vertical="center"/>
    </xf>
    <xf numFmtId="176" fontId="0" fillId="26" borderId="46" xfId="0" applyNumberFormat="1" applyFill="1" applyBorder="1" applyAlignment="1">
      <alignment vertical="center" shrinkToFit="1"/>
    </xf>
    <xf numFmtId="176" fontId="0" fillId="26" borderId="30" xfId="0" applyNumberFormat="1" applyFill="1" applyBorder="1" applyAlignment="1">
      <alignment vertical="center" shrinkToFit="1"/>
    </xf>
    <xf numFmtId="176" fontId="0" fillId="26" borderId="55" xfId="0" applyNumberFormat="1" applyFill="1" applyBorder="1" applyAlignment="1">
      <alignment vertical="center" shrinkToFit="1"/>
    </xf>
    <xf numFmtId="176" fontId="0" fillId="25" borderId="95" xfId="0" applyNumberFormat="1" applyFill="1" applyBorder="1">
      <alignment vertical="center"/>
    </xf>
    <xf numFmtId="176" fontId="0" fillId="25" borderId="28" xfId="0" applyNumberFormat="1" applyFill="1" applyBorder="1">
      <alignment vertical="center"/>
    </xf>
    <xf numFmtId="177" fontId="0" fillId="25" borderId="95" xfId="0" applyNumberFormat="1" applyFill="1" applyBorder="1">
      <alignment vertical="center"/>
    </xf>
    <xf numFmtId="177" fontId="0" fillId="25" borderId="28" xfId="0" applyNumberFormat="1" applyFill="1" applyBorder="1">
      <alignment vertical="center"/>
    </xf>
    <xf numFmtId="176" fontId="0" fillId="25" borderId="37" xfId="0" applyNumberFormat="1" applyFill="1" applyBorder="1">
      <alignment vertical="center"/>
    </xf>
    <xf numFmtId="176" fontId="0" fillId="25" borderId="39" xfId="0" applyNumberFormat="1" applyFill="1" applyBorder="1">
      <alignment vertical="center"/>
    </xf>
    <xf numFmtId="176" fontId="0" fillId="25" borderId="7" xfId="0" applyNumberFormat="1" applyFill="1" applyBorder="1">
      <alignment vertical="center"/>
    </xf>
    <xf numFmtId="176" fontId="0" fillId="25" borderId="93" xfId="0" applyNumberFormat="1" applyFill="1" applyBorder="1">
      <alignment vertical="center"/>
    </xf>
    <xf numFmtId="176" fontId="0" fillId="25" borderId="14" xfId="0" applyNumberFormat="1" applyFill="1" applyBorder="1">
      <alignment vertical="center"/>
    </xf>
    <xf numFmtId="176" fontId="0" fillId="25" borderId="96" xfId="0" applyNumberFormat="1" applyFill="1" applyBorder="1">
      <alignment vertical="center"/>
    </xf>
    <xf numFmtId="176" fontId="0" fillId="25" borderId="19" xfId="0" applyNumberFormat="1" applyFill="1" applyBorder="1">
      <alignment vertical="center"/>
    </xf>
    <xf numFmtId="176" fontId="0" fillId="26" borderId="17" xfId="0" applyNumberFormat="1" applyFill="1" applyBorder="1" applyAlignment="1">
      <alignment vertical="center" shrinkToFit="1"/>
    </xf>
    <xf numFmtId="176" fontId="0" fillId="25" borderId="95" xfId="0" applyNumberFormat="1" applyFill="1" applyBorder="1" applyAlignment="1">
      <alignment vertical="center" shrinkToFit="1"/>
    </xf>
    <xf numFmtId="176" fontId="0" fillId="25" borderId="72" xfId="0" applyNumberFormat="1" applyFill="1" applyBorder="1" applyAlignment="1">
      <alignment vertical="center" shrinkToFit="1"/>
    </xf>
    <xf numFmtId="177" fontId="0" fillId="25" borderId="72" xfId="0" applyNumberFormat="1" applyFill="1" applyBorder="1">
      <alignment vertical="center"/>
    </xf>
    <xf numFmtId="176" fontId="0" fillId="25" borderId="72" xfId="0" applyNumberFormat="1" applyFill="1" applyBorder="1">
      <alignment vertical="center"/>
    </xf>
    <xf numFmtId="176" fontId="0" fillId="25" borderId="28" xfId="0" applyNumberFormat="1" applyFill="1" applyBorder="1" applyAlignment="1">
      <alignment vertical="center" shrinkToFit="1"/>
    </xf>
    <xf numFmtId="176" fontId="0" fillId="25" borderId="79" xfId="0" applyNumberFormat="1" applyFill="1" applyBorder="1">
      <alignment vertical="center"/>
    </xf>
    <xf numFmtId="176" fontId="0" fillId="25" borderId="76" xfId="0" applyNumberFormat="1" applyFill="1" applyBorder="1">
      <alignment vertical="center"/>
    </xf>
    <xf numFmtId="176" fontId="0" fillId="25" borderId="37" xfId="0" applyNumberFormat="1" applyFill="1" applyBorder="1" applyAlignment="1">
      <alignment vertical="center" shrinkToFit="1"/>
    </xf>
    <xf numFmtId="176" fontId="0" fillId="25" borderId="7" xfId="0" applyNumberFormat="1" applyFill="1" applyBorder="1" applyAlignment="1">
      <alignment vertical="center" shrinkToFit="1"/>
    </xf>
    <xf numFmtId="176" fontId="0" fillId="25" borderId="38" xfId="0" applyNumberFormat="1" applyFill="1" applyBorder="1" applyAlignment="1">
      <alignment vertical="center" shrinkToFit="1"/>
    </xf>
    <xf numFmtId="0" fontId="34" fillId="2" borderId="51" xfId="0" applyFont="1" applyFill="1" applyBorder="1">
      <alignment vertical="center"/>
    </xf>
    <xf numFmtId="0" fontId="28" fillId="2" borderId="5" xfId="81" applyFont="1" applyFill="1" applyBorder="1" applyAlignment="1" applyProtection="1">
      <alignment vertical="center"/>
    </xf>
    <xf numFmtId="180" fontId="25" fillId="2" borderId="54" xfId="55" applyNumberFormat="1" applyFill="1" applyBorder="1" applyAlignment="1">
      <alignment horizontal="right" vertical="center"/>
    </xf>
    <xf numFmtId="0" fontId="28" fillId="2" borderId="6" xfId="81" applyFont="1" applyFill="1" applyBorder="1" applyAlignment="1" applyProtection="1">
      <alignment vertical="center"/>
    </xf>
    <xf numFmtId="180" fontId="25" fillId="2" borderId="7" xfId="55" applyNumberFormat="1" applyFill="1" applyBorder="1" applyAlignment="1">
      <alignment horizontal="right" vertical="center"/>
    </xf>
    <xf numFmtId="180" fontId="25" fillId="2" borderId="28" xfId="55" applyNumberFormat="1" applyFill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19" xfId="0" applyBorder="1">
      <alignment vertical="center"/>
    </xf>
    <xf numFmtId="0" fontId="0" fillId="0" borderId="32" xfId="0" applyBorder="1">
      <alignment vertical="center"/>
    </xf>
    <xf numFmtId="0" fontId="0" fillId="0" borderId="54" xfId="0" applyBorder="1">
      <alignment vertical="center"/>
    </xf>
    <xf numFmtId="180" fontId="25" fillId="26" borderId="42" xfId="86" applyNumberFormat="1" applyFont="1" applyFill="1" applyBorder="1" applyAlignment="1">
      <alignment horizontal="right" vertical="center"/>
    </xf>
    <xf numFmtId="180" fontId="25" fillId="26" borderId="70" xfId="86" applyNumberFormat="1" applyFont="1" applyFill="1" applyBorder="1" applyAlignment="1">
      <alignment horizontal="right" vertical="center"/>
    </xf>
    <xf numFmtId="180" fontId="25" fillId="26" borderId="68" xfId="86" applyNumberFormat="1" applyFont="1" applyFill="1" applyBorder="1" applyAlignment="1">
      <alignment horizontal="right" vertical="center"/>
    </xf>
    <xf numFmtId="180" fontId="0" fillId="2" borderId="102" xfId="86" applyNumberFormat="1" applyFont="1" applyFill="1" applyBorder="1" applyAlignment="1">
      <alignment vertical="center" shrinkToFit="1"/>
    </xf>
    <xf numFmtId="180" fontId="0" fillId="2" borderId="99" xfId="86" applyNumberFormat="1" applyFont="1" applyFill="1" applyBorder="1">
      <alignment vertical="center"/>
    </xf>
    <xf numFmtId="180" fontId="0" fillId="2" borderId="40" xfId="86" applyNumberFormat="1" applyFont="1" applyFill="1" applyBorder="1">
      <alignment vertical="center"/>
    </xf>
    <xf numFmtId="180" fontId="0" fillId="2" borderId="103" xfId="86" applyNumberFormat="1" applyFont="1" applyFill="1" applyBorder="1" applyAlignment="1">
      <alignment vertical="center" shrinkToFit="1"/>
    </xf>
    <xf numFmtId="180" fontId="0" fillId="2" borderId="92" xfId="86" applyNumberFormat="1" applyFont="1" applyFill="1" applyBorder="1">
      <alignment vertical="center"/>
    </xf>
    <xf numFmtId="180" fontId="0" fillId="2" borderId="42" xfId="86" applyNumberFormat="1" applyFont="1" applyFill="1" applyBorder="1">
      <alignment vertical="center"/>
    </xf>
    <xf numFmtId="176" fontId="0" fillId="0" borderId="37" xfId="0" applyNumberFormat="1" applyFill="1" applyBorder="1">
      <alignment vertical="center"/>
    </xf>
    <xf numFmtId="176" fontId="0" fillId="0" borderId="39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41" xfId="0" applyNumberFormat="1" applyFill="1" applyBorder="1">
      <alignment vertical="center"/>
    </xf>
    <xf numFmtId="180" fontId="0" fillId="0" borderId="40" xfId="86" applyNumberFormat="1" applyFont="1" applyFill="1" applyBorder="1">
      <alignment vertical="center"/>
    </xf>
    <xf numFmtId="180" fontId="0" fillId="0" borderId="42" xfId="86" applyNumberFormat="1" applyFont="1" applyFill="1" applyBorder="1">
      <alignment vertical="center"/>
    </xf>
    <xf numFmtId="180" fontId="7" fillId="26" borderId="10" xfId="86" applyNumberFormat="1" applyFont="1" applyFill="1" applyBorder="1" applyAlignment="1" applyProtection="1">
      <alignment horizontal="right" vertical="center"/>
    </xf>
    <xf numFmtId="180" fontId="7" fillId="26" borderId="22" xfId="86" applyNumberFormat="1" applyFont="1" applyFill="1" applyBorder="1" applyAlignment="1" applyProtection="1">
      <alignment horizontal="right" vertical="center"/>
    </xf>
    <xf numFmtId="180" fontId="7" fillId="26" borderId="11" xfId="86" applyNumberFormat="1" applyFont="1" applyFill="1" applyBorder="1" applyAlignment="1" applyProtection="1">
      <alignment horizontal="right" vertical="center"/>
    </xf>
    <xf numFmtId="180" fontId="7" fillId="26" borderId="50" xfId="86" applyNumberFormat="1" applyFont="1" applyFill="1" applyBorder="1" applyAlignment="1" applyProtection="1">
      <alignment horizontal="right" vertical="center"/>
    </xf>
    <xf numFmtId="180" fontId="7" fillId="26" borderId="70" xfId="86" applyNumberFormat="1" applyFont="1" applyFill="1" applyBorder="1" applyAlignment="1" applyProtection="1">
      <alignment horizontal="right" vertical="center"/>
      <protection locked="0"/>
    </xf>
    <xf numFmtId="180" fontId="7" fillId="26" borderId="70" xfId="86" applyNumberFormat="1" applyFont="1" applyFill="1" applyBorder="1" applyAlignment="1" applyProtection="1">
      <alignment horizontal="right" vertical="center"/>
    </xf>
    <xf numFmtId="180" fontId="7" fillId="26" borderId="68" xfId="86" applyNumberFormat="1" applyFont="1" applyFill="1" applyBorder="1" applyAlignment="1" applyProtection="1">
      <alignment horizontal="right" vertical="center"/>
      <protection locked="0"/>
    </xf>
    <xf numFmtId="180" fontId="7" fillId="26" borderId="24" xfId="86" applyNumberFormat="1" applyFont="1" applyFill="1" applyBorder="1" applyAlignment="1" applyProtection="1">
      <alignment horizontal="right" vertical="center"/>
      <protection locked="0"/>
    </xf>
    <xf numFmtId="180" fontId="7" fillId="26" borderId="24" xfId="86" applyNumberFormat="1" applyFont="1" applyFill="1" applyBorder="1" applyAlignment="1" applyProtection="1">
      <alignment horizontal="right" vertical="center"/>
    </xf>
    <xf numFmtId="180" fontId="7" fillId="26" borderId="18" xfId="86" applyNumberFormat="1" applyFont="1" applyFill="1" applyBorder="1" applyAlignment="1" applyProtection="1">
      <alignment horizontal="right" vertical="center"/>
      <protection locked="0"/>
    </xf>
    <xf numFmtId="180" fontId="31" fillId="26" borderId="42" xfId="86" applyNumberFormat="1" applyFont="1" applyFill="1" applyBorder="1" applyAlignment="1">
      <alignment horizontal="right" vertical="center"/>
    </xf>
    <xf numFmtId="180" fontId="31" fillId="26" borderId="68" xfId="86" applyNumberFormat="1" applyFont="1" applyFill="1" applyBorder="1" applyAlignment="1">
      <alignment horizontal="right" vertical="center"/>
    </xf>
    <xf numFmtId="180" fontId="31" fillId="26" borderId="4" xfId="86" applyNumberFormat="1" applyFont="1" applyFill="1" applyBorder="1" applyAlignment="1">
      <alignment horizontal="right" vertical="center" shrinkToFit="1"/>
    </xf>
    <xf numFmtId="180" fontId="31" fillId="26" borderId="11" xfId="86" applyNumberFormat="1" applyFont="1" applyFill="1" applyBorder="1" applyAlignment="1">
      <alignment horizontal="right" vertical="center"/>
    </xf>
    <xf numFmtId="180" fontId="31" fillId="26" borderId="70" xfId="86" applyNumberFormat="1" applyFont="1" applyFill="1" applyBorder="1" applyAlignment="1">
      <alignment horizontal="right" vertical="center" shrinkToFit="1"/>
    </xf>
    <xf numFmtId="180" fontId="31" fillId="26" borderId="78" xfId="86" applyNumberFormat="1" applyFont="1" applyFill="1" applyBorder="1" applyAlignment="1">
      <alignment horizontal="right" vertical="center"/>
    </xf>
    <xf numFmtId="180" fontId="31" fillId="26" borderId="78" xfId="86" applyNumberFormat="1" applyFont="1" applyFill="1" applyBorder="1" applyAlignment="1">
      <alignment horizontal="right" vertical="center" shrinkToFit="1"/>
    </xf>
    <xf numFmtId="176" fontId="31" fillId="26" borderId="41" xfId="0" applyNumberFormat="1" applyFont="1" applyFill="1" applyBorder="1" applyAlignment="1">
      <alignment horizontal="right" vertical="center"/>
    </xf>
    <xf numFmtId="176" fontId="31" fillId="26" borderId="39" xfId="0" applyNumberFormat="1" applyFont="1" applyFill="1" applyBorder="1" applyAlignment="1">
      <alignment horizontal="right" vertical="center"/>
    </xf>
    <xf numFmtId="176" fontId="31" fillId="26" borderId="42" xfId="0" applyNumberFormat="1" applyFont="1" applyFill="1" applyBorder="1" applyAlignment="1">
      <alignment horizontal="right" vertical="center"/>
    </xf>
    <xf numFmtId="176" fontId="31" fillId="26" borderId="67" xfId="0" applyNumberFormat="1" applyFont="1" applyFill="1" applyBorder="1" applyAlignment="1">
      <alignment horizontal="right" vertical="center"/>
    </xf>
    <xf numFmtId="176" fontId="31" fillId="26" borderId="66" xfId="0" applyNumberFormat="1" applyFont="1" applyFill="1" applyBorder="1" applyAlignment="1">
      <alignment horizontal="right" vertical="center"/>
    </xf>
    <xf numFmtId="176" fontId="31" fillId="26" borderId="68" xfId="0" applyNumberFormat="1" applyFont="1" applyFill="1" applyBorder="1" applyAlignment="1">
      <alignment horizontal="right" vertical="center"/>
    </xf>
    <xf numFmtId="180" fontId="31" fillId="26" borderId="33" xfId="0" applyNumberFormat="1" applyFont="1" applyFill="1" applyBorder="1" applyAlignment="1">
      <alignment horizontal="right" vertical="center"/>
    </xf>
    <xf numFmtId="180" fontId="31" fillId="26" borderId="4" xfId="0" applyNumberFormat="1" applyFont="1" applyFill="1" applyBorder="1" applyAlignment="1">
      <alignment horizontal="right" vertical="center"/>
    </xf>
    <xf numFmtId="180" fontId="0" fillId="26" borderId="71" xfId="86" applyNumberFormat="1" applyFont="1" applyFill="1" applyBorder="1" applyAlignment="1">
      <alignment horizontal="right" vertical="center"/>
    </xf>
    <xf numFmtId="180" fontId="0" fillId="26" borderId="71" xfId="86" applyNumberFormat="1" applyFont="1" applyFill="1" applyBorder="1" applyAlignment="1">
      <alignment horizontal="right" vertical="center" shrinkToFit="1"/>
    </xf>
    <xf numFmtId="180" fontId="0" fillId="26" borderId="70" xfId="86" applyNumberFormat="1" applyFont="1" applyFill="1" applyBorder="1" applyAlignment="1">
      <alignment horizontal="right" vertical="center"/>
    </xf>
    <xf numFmtId="180" fontId="0" fillId="26" borderId="70" xfId="86" applyNumberFormat="1" applyFont="1" applyFill="1" applyBorder="1" applyAlignment="1">
      <alignment horizontal="right" vertical="center" shrinkToFit="1"/>
    </xf>
    <xf numFmtId="180" fontId="0" fillId="26" borderId="74" xfId="86" applyNumberFormat="1" applyFont="1" applyFill="1" applyBorder="1" applyAlignment="1">
      <alignment horizontal="right" vertical="center"/>
    </xf>
    <xf numFmtId="180" fontId="0" fillId="26" borderId="78" xfId="86" applyNumberFormat="1" applyFont="1" applyFill="1" applyBorder="1" applyAlignment="1">
      <alignment horizontal="right" vertical="center"/>
    </xf>
    <xf numFmtId="180" fontId="0" fillId="26" borderId="40" xfId="86" applyNumberFormat="1" applyFont="1" applyFill="1" applyBorder="1" applyAlignment="1">
      <alignment horizontal="right" vertical="center" shrinkToFit="1"/>
    </xf>
    <xf numFmtId="180" fontId="0" fillId="26" borderId="65" xfId="86" applyNumberFormat="1" applyFont="1" applyFill="1" applyBorder="1" applyAlignment="1">
      <alignment horizontal="right" vertical="center"/>
    </xf>
    <xf numFmtId="180" fontId="0" fillId="26" borderId="49" xfId="86" applyNumberFormat="1" applyFont="1" applyFill="1" applyBorder="1" applyAlignment="1">
      <alignment horizontal="right" vertical="center" shrinkToFit="1"/>
    </xf>
    <xf numFmtId="180" fontId="0" fillId="26" borderId="42" xfId="86" applyNumberFormat="1" applyFont="1" applyFill="1" applyBorder="1" applyAlignment="1">
      <alignment horizontal="right" vertical="center" shrinkToFit="1"/>
    </xf>
    <xf numFmtId="180" fontId="0" fillId="26" borderId="68" xfId="86" applyNumberFormat="1" applyFont="1" applyFill="1" applyBorder="1" applyAlignment="1">
      <alignment horizontal="right" vertical="center"/>
    </xf>
    <xf numFmtId="180" fontId="0" fillId="26" borderId="50" xfId="86" applyNumberFormat="1" applyFont="1" applyFill="1" applyBorder="1" applyAlignment="1">
      <alignment horizontal="right" vertical="center" shrinkToFit="1"/>
    </xf>
    <xf numFmtId="0" fontId="0" fillId="2" borderId="29" xfId="3" applyFont="1" applyFill="1" applyBorder="1" applyAlignment="1" applyProtection="1">
      <alignment horizontal="left" vertical="top" wrapText="1"/>
    </xf>
    <xf numFmtId="0" fontId="35" fillId="2" borderId="0" xfId="0" applyFont="1" applyFill="1">
      <alignment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6" fillId="2" borderId="33" xfId="2" applyFont="1" applyFill="1" applyBorder="1" applyAlignment="1">
      <alignment horizontal="left" vertical="center"/>
    </xf>
    <xf numFmtId="10" fontId="36" fillId="26" borderId="17" xfId="2" applyNumberFormat="1" applyFont="1" applyFill="1" applyBorder="1" applyAlignment="1" applyProtection="1">
      <alignment vertical="center"/>
    </xf>
    <xf numFmtId="10" fontId="36" fillId="26" borderId="50" xfId="2" applyNumberFormat="1" applyFont="1" applyFill="1" applyBorder="1" applyAlignment="1" applyProtection="1">
      <alignment vertical="center"/>
    </xf>
    <xf numFmtId="176" fontId="36" fillId="2" borderId="0" xfId="2" applyNumberFormat="1" applyFont="1" applyFill="1" applyBorder="1" applyAlignment="1" applyProtection="1">
      <alignment vertical="center"/>
    </xf>
    <xf numFmtId="0" fontId="36" fillId="2" borderId="108" xfId="2" applyFont="1" applyFill="1" applyBorder="1" applyAlignment="1" applyProtection="1">
      <alignment horizontal="center" vertical="center" shrinkToFit="1"/>
    </xf>
    <xf numFmtId="0" fontId="36" fillId="2" borderId="109" xfId="2" applyFont="1" applyFill="1" applyBorder="1" applyAlignment="1" applyProtection="1">
      <alignment horizontal="center" vertical="center" shrinkToFit="1"/>
    </xf>
    <xf numFmtId="0" fontId="36" fillId="2" borderId="110" xfId="2" applyFont="1" applyFill="1" applyBorder="1" applyAlignment="1" applyProtection="1">
      <alignment horizontal="center" vertical="center" shrinkToFit="1"/>
    </xf>
    <xf numFmtId="0" fontId="36" fillId="2" borderId="111" xfId="2" applyFont="1" applyFill="1" applyBorder="1" applyAlignment="1">
      <alignment horizontal="left" vertical="center"/>
    </xf>
    <xf numFmtId="183" fontId="36" fillId="26" borderId="112" xfId="2" applyNumberFormat="1" applyFont="1" applyFill="1" applyBorder="1" applyAlignment="1" applyProtection="1">
      <alignment vertical="center"/>
    </xf>
    <xf numFmtId="183" fontId="36" fillId="26" borderId="113" xfId="2" applyNumberFormat="1" applyFont="1" applyFill="1" applyBorder="1" applyAlignment="1" applyProtection="1">
      <alignment vertical="center"/>
    </xf>
    <xf numFmtId="0" fontId="36" fillId="2" borderId="114" xfId="2" applyFont="1" applyFill="1" applyBorder="1" applyAlignment="1">
      <alignment horizontal="left" vertical="center"/>
    </xf>
    <xf numFmtId="183" fontId="36" fillId="26" borderId="115" xfId="2" applyNumberFormat="1" applyFont="1" applyFill="1" applyBorder="1" applyAlignment="1" applyProtection="1">
      <alignment vertical="center"/>
    </xf>
    <xf numFmtId="183" fontId="36" fillId="26" borderId="116" xfId="2" applyNumberFormat="1" applyFont="1" applyFill="1" applyBorder="1" applyAlignment="1" applyProtection="1">
      <alignment vertical="center"/>
    </xf>
    <xf numFmtId="0" fontId="36" fillId="2" borderId="117" xfId="2" applyFont="1" applyFill="1" applyBorder="1" applyAlignment="1">
      <alignment horizontal="left" vertical="center"/>
    </xf>
    <xf numFmtId="0" fontId="36" fillId="2" borderId="43" xfId="2" applyFont="1" applyFill="1" applyBorder="1" applyAlignment="1">
      <alignment horizontal="left" vertical="center" wrapText="1"/>
    </xf>
    <xf numFmtId="184" fontId="36" fillId="26" borderId="105" xfId="2" applyNumberFormat="1" applyFont="1" applyFill="1" applyBorder="1" applyAlignment="1" applyProtection="1">
      <alignment vertical="center"/>
    </xf>
    <xf numFmtId="0" fontId="36" fillId="2" borderId="96" xfId="2" applyFont="1" applyFill="1" applyBorder="1" applyAlignment="1">
      <alignment horizontal="left" vertical="center"/>
    </xf>
    <xf numFmtId="184" fontId="36" fillId="26" borderId="107" xfId="2" applyNumberFormat="1" applyFont="1" applyFill="1" applyBorder="1" applyAlignment="1" applyProtection="1">
      <alignment vertical="center"/>
    </xf>
    <xf numFmtId="0" fontId="38" fillId="2" borderId="0" xfId="0" applyFont="1" applyFill="1">
      <alignment vertical="center"/>
    </xf>
    <xf numFmtId="0" fontId="36" fillId="2" borderId="33" xfId="2" applyFont="1" applyFill="1" applyBorder="1" applyAlignment="1">
      <alignment horizontal="left" vertical="center" wrapText="1"/>
    </xf>
    <xf numFmtId="176" fontId="36" fillId="26" borderId="33" xfId="2" applyNumberFormat="1" applyFont="1" applyFill="1" applyBorder="1" applyAlignment="1" applyProtection="1">
      <alignment vertical="center"/>
    </xf>
    <xf numFmtId="0" fontId="3" fillId="2" borderId="0" xfId="87" applyFont="1" applyFill="1" applyAlignment="1" applyProtection="1">
      <alignment vertical="center"/>
    </xf>
    <xf numFmtId="0" fontId="7" fillId="2" borderId="0" xfId="3" applyNumberFormat="1" applyFill="1" applyBorder="1" applyAlignment="1" applyProtection="1">
      <alignment horizontal="left" vertical="top"/>
    </xf>
    <xf numFmtId="0" fontId="0" fillId="2" borderId="0" xfId="0" applyNumberFormat="1" applyFill="1">
      <alignment vertical="center"/>
    </xf>
    <xf numFmtId="0" fontId="0" fillId="2" borderId="0" xfId="0" applyNumberFormat="1" applyFill="1" applyAlignment="1">
      <alignment horizontal="left" vertical="top"/>
    </xf>
    <xf numFmtId="0" fontId="0" fillId="2" borderId="105" xfId="0" applyNumberFormat="1" applyFill="1" applyBorder="1">
      <alignment vertical="center"/>
    </xf>
    <xf numFmtId="0" fontId="0" fillId="2" borderId="46" xfId="0" applyNumberFormat="1" applyFill="1" applyBorder="1" applyAlignment="1">
      <alignment horizontal="center" vertical="center"/>
    </xf>
    <xf numFmtId="0" fontId="0" fillId="2" borderId="0" xfId="0" applyNumberFormat="1" applyFill="1" applyBorder="1">
      <alignment vertical="center"/>
    </xf>
    <xf numFmtId="0" fontId="3" fillId="2" borderId="0" xfId="0" applyNumberFormat="1" applyFont="1" applyFill="1" applyAlignment="1">
      <alignment vertical="top"/>
    </xf>
    <xf numFmtId="0" fontId="0" fillId="25" borderId="31" xfId="0" applyNumberFormat="1" applyFill="1" applyBorder="1">
      <alignment vertical="center"/>
    </xf>
    <xf numFmtId="0" fontId="0" fillId="25" borderId="32" xfId="0" applyNumberFormat="1" applyFill="1" applyBorder="1">
      <alignment vertical="center"/>
    </xf>
    <xf numFmtId="0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vertical="top"/>
    </xf>
    <xf numFmtId="0" fontId="0" fillId="2" borderId="31" xfId="0" applyNumberFormat="1" applyFill="1" applyBorder="1">
      <alignment vertical="center"/>
    </xf>
    <xf numFmtId="0" fontId="0" fillId="2" borderId="32" xfId="0" applyNumberFormat="1" applyFill="1" applyBorder="1">
      <alignment vertical="center"/>
    </xf>
    <xf numFmtId="0" fontId="0" fillId="2" borderId="95" xfId="0" applyNumberFormat="1" applyFill="1" applyBorder="1">
      <alignment vertical="center"/>
    </xf>
    <xf numFmtId="0" fontId="0" fillId="2" borderId="98" xfId="0" applyNumberFormat="1" applyFill="1" applyBorder="1">
      <alignment vertical="center"/>
    </xf>
    <xf numFmtId="176" fontId="0" fillId="2" borderId="70" xfId="0" applyNumberFormat="1" applyFill="1" applyBorder="1" applyAlignment="1">
      <alignment horizontal="right" vertical="center"/>
    </xf>
    <xf numFmtId="0" fontId="0" fillId="2" borderId="93" xfId="0" applyNumberFormat="1" applyFill="1" applyBorder="1">
      <alignment vertical="center"/>
    </xf>
    <xf numFmtId="0" fontId="0" fillId="2" borderId="12" xfId="0" applyNumberFormat="1" applyFill="1" applyBorder="1">
      <alignment vertical="center"/>
    </xf>
    <xf numFmtId="0" fontId="0" fillId="25" borderId="98" xfId="0" applyNumberFormat="1" applyFill="1" applyBorder="1">
      <alignment vertical="center"/>
    </xf>
    <xf numFmtId="176" fontId="0" fillId="25" borderId="70" xfId="0" applyNumberFormat="1" applyFill="1" applyBorder="1" applyAlignment="1">
      <alignment horizontal="right" vertical="center"/>
    </xf>
    <xf numFmtId="0" fontId="0" fillId="2" borderId="8" xfId="0" applyNumberFormat="1" applyFill="1" applyBorder="1">
      <alignment vertical="center"/>
    </xf>
    <xf numFmtId="180" fontId="0" fillId="25" borderId="70" xfId="0" applyNumberFormat="1" applyFill="1" applyBorder="1" applyAlignment="1">
      <alignment horizontal="right" vertical="center"/>
    </xf>
    <xf numFmtId="0" fontId="0" fillId="2" borderId="35" xfId="0" applyNumberFormat="1" applyFill="1" applyBorder="1">
      <alignment vertical="center"/>
    </xf>
    <xf numFmtId="0" fontId="0" fillId="25" borderId="71" xfId="0" applyNumberFormat="1" applyFill="1" applyBorder="1">
      <alignment vertical="center"/>
    </xf>
    <xf numFmtId="0" fontId="0" fillId="2" borderId="96" xfId="0" applyNumberFormat="1" applyFill="1" applyBorder="1">
      <alignment vertical="center"/>
    </xf>
    <xf numFmtId="0" fontId="0" fillId="2" borderId="94" xfId="0" applyNumberFormat="1" applyFill="1" applyBorder="1">
      <alignment vertical="center"/>
    </xf>
    <xf numFmtId="0" fontId="0" fillId="2" borderId="71" xfId="0" applyNumberFormat="1" applyFill="1" applyBorder="1">
      <alignment vertical="center"/>
    </xf>
    <xf numFmtId="0" fontId="7" fillId="2" borderId="43" xfId="87" applyNumberFormat="1" applyFont="1" applyFill="1" applyBorder="1" applyAlignment="1" applyProtection="1">
      <alignment vertical="center"/>
    </xf>
    <xf numFmtId="0" fontId="28" fillId="2" borderId="51" xfId="81" applyNumberFormat="1" applyFill="1" applyBorder="1" applyAlignment="1" applyProtection="1">
      <alignment vertical="center"/>
    </xf>
    <xf numFmtId="0" fontId="0" fillId="2" borderId="51" xfId="0" applyNumberFormat="1" applyFill="1" applyBorder="1" applyAlignment="1">
      <alignment vertical="top"/>
    </xf>
    <xf numFmtId="0" fontId="25" fillId="2" borderId="35" xfId="55" applyNumberFormat="1" applyFill="1" applyBorder="1">
      <alignment vertical="center"/>
    </xf>
    <xf numFmtId="0" fontId="25" fillId="2" borderId="52" xfId="55" applyNumberFormat="1" applyFill="1" applyBorder="1">
      <alignment vertical="center"/>
    </xf>
    <xf numFmtId="0" fontId="0" fillId="2" borderId="52" xfId="0" applyNumberFormat="1" applyFill="1" applyBorder="1" applyAlignment="1">
      <alignment vertical="top"/>
    </xf>
    <xf numFmtId="0" fontId="7" fillId="2" borderId="125" xfId="81" applyNumberFormat="1" applyFont="1" applyFill="1" applyBorder="1" applyAlignment="1" applyProtection="1">
      <alignment horizontal="center" vertical="center"/>
    </xf>
    <xf numFmtId="0" fontId="7" fillId="2" borderId="126" xfId="81" applyNumberFormat="1" applyFont="1" applyFill="1" applyBorder="1" applyAlignment="1" applyProtection="1">
      <alignment horizontal="center" vertical="center"/>
    </xf>
    <xf numFmtId="0" fontId="7" fillId="2" borderId="127" xfId="81" applyNumberFormat="1" applyFont="1" applyFill="1" applyBorder="1" applyAlignment="1" applyProtection="1">
      <alignment horizontal="center" vertical="center"/>
    </xf>
    <xf numFmtId="0" fontId="28" fillId="2" borderId="5" xfId="81" applyNumberFormat="1" applyFont="1" applyFill="1" applyBorder="1" applyAlignment="1" applyProtection="1">
      <alignment vertical="center"/>
    </xf>
    <xf numFmtId="0" fontId="28" fillId="2" borderId="0" xfId="81" applyNumberFormat="1" applyFont="1" applyFill="1" applyBorder="1" applyAlignment="1" applyProtection="1">
      <alignment vertical="center"/>
    </xf>
    <xf numFmtId="0" fontId="28" fillId="2" borderId="85" xfId="81" applyNumberFormat="1" applyFont="1" applyFill="1" applyBorder="1" applyAlignment="1" applyProtection="1">
      <alignment vertical="center"/>
    </xf>
    <xf numFmtId="0" fontId="0" fillId="2" borderId="85" xfId="0" applyNumberFormat="1" applyFill="1" applyBorder="1" applyAlignment="1">
      <alignment vertical="top"/>
    </xf>
    <xf numFmtId="0" fontId="28" fillId="2" borderId="71" xfId="81" applyNumberFormat="1" applyFont="1" applyFill="1" applyBorder="1" applyAlignment="1" applyProtection="1">
      <alignment vertical="center"/>
    </xf>
    <xf numFmtId="0" fontId="28" fillId="2" borderId="98" xfId="81" applyNumberFormat="1" applyFont="1" applyFill="1" applyBorder="1" applyAlignment="1" applyProtection="1">
      <alignment vertical="center"/>
    </xf>
    <xf numFmtId="0" fontId="25" fillId="2" borderId="98" xfId="55" applyNumberFormat="1" applyFill="1" applyBorder="1">
      <alignment vertical="center"/>
    </xf>
    <xf numFmtId="0" fontId="0" fillId="2" borderId="98" xfId="0" applyNumberFormat="1" applyFill="1" applyBorder="1" applyAlignment="1">
      <alignment vertical="top"/>
    </xf>
    <xf numFmtId="0" fontId="25" fillId="2" borderId="85" xfId="55" applyNumberFormat="1" applyFill="1" applyBorder="1">
      <alignment vertical="center"/>
    </xf>
    <xf numFmtId="0" fontId="28" fillId="2" borderId="95" xfId="81" applyNumberFormat="1" applyFont="1" applyFill="1" applyBorder="1" applyAlignment="1" applyProtection="1">
      <alignment vertical="center"/>
    </xf>
    <xf numFmtId="0" fontId="25" fillId="2" borderId="95" xfId="55" applyNumberFormat="1" applyFill="1" applyBorder="1">
      <alignment vertical="center"/>
    </xf>
    <xf numFmtId="0" fontId="28" fillId="2" borderId="96" xfId="81" applyNumberFormat="1" applyFont="1" applyFill="1" applyBorder="1" applyAlignment="1" applyProtection="1">
      <alignment vertical="center"/>
    </xf>
    <xf numFmtId="0" fontId="28" fillId="2" borderId="94" xfId="81" applyNumberFormat="1" applyFont="1" applyFill="1" applyBorder="1" applyAlignment="1" applyProtection="1">
      <alignment vertical="center"/>
    </xf>
    <xf numFmtId="0" fontId="0" fillId="2" borderId="94" xfId="0" applyNumberFormat="1" applyFill="1" applyBorder="1" applyAlignment="1">
      <alignment vertical="top"/>
    </xf>
    <xf numFmtId="0" fontId="3" fillId="2" borderId="37" xfId="0" applyNumberFormat="1" applyFont="1" applyFill="1" applyBorder="1" applyAlignment="1">
      <alignment vertical="top"/>
    </xf>
    <xf numFmtId="0" fontId="0" fillId="2" borderId="6" xfId="0" applyNumberFormat="1" applyFill="1" applyBorder="1" applyAlignment="1">
      <alignment vertical="top"/>
    </xf>
    <xf numFmtId="0" fontId="0" fillId="2" borderId="43" xfId="0" applyNumberFormat="1" applyFill="1" applyBorder="1" applyAlignment="1">
      <alignment vertical="top"/>
    </xf>
    <xf numFmtId="0" fontId="0" fillId="2" borderId="134" xfId="0" applyNumberFormat="1" applyFill="1" applyBorder="1" applyAlignment="1">
      <alignment vertical="top"/>
    </xf>
    <xf numFmtId="0" fontId="0" fillId="2" borderId="43" xfId="0" applyNumberFormat="1" applyFill="1" applyBorder="1">
      <alignment vertical="center"/>
    </xf>
    <xf numFmtId="0" fontId="0" fillId="2" borderId="51" xfId="0" applyNumberFormat="1" applyFill="1" applyBorder="1">
      <alignment vertical="center"/>
    </xf>
    <xf numFmtId="0" fontId="0" fillId="2" borderId="5" xfId="0" applyNumberFormat="1" applyFill="1" applyBorder="1">
      <alignment vertical="center"/>
    </xf>
    <xf numFmtId="0" fontId="0" fillId="2" borderId="46" xfId="0" applyNumberFormat="1" applyFill="1" applyBorder="1" applyAlignment="1">
      <alignment horizontal="center" vertical="top"/>
    </xf>
    <xf numFmtId="0" fontId="34" fillId="2" borderId="136" xfId="0" applyNumberFormat="1" applyFont="1" applyFill="1" applyBorder="1" applyAlignment="1">
      <alignment horizontal="center" vertical="center" wrapText="1"/>
    </xf>
    <xf numFmtId="0" fontId="39" fillId="2" borderId="136" xfId="0" applyNumberFormat="1" applyFont="1" applyFill="1" applyBorder="1" applyAlignment="1">
      <alignment horizontal="center" vertical="center" wrapText="1"/>
    </xf>
    <xf numFmtId="0" fontId="39" fillId="2" borderId="137" xfId="0" applyNumberFormat="1" applyFont="1" applyFill="1" applyBorder="1" applyAlignment="1">
      <alignment horizontal="center" vertical="center" wrapText="1"/>
    </xf>
    <xf numFmtId="0" fontId="28" fillId="2" borderId="37" xfId="81" applyNumberFormat="1" applyFont="1" applyFill="1" applyBorder="1" applyAlignment="1" applyProtection="1">
      <alignment vertical="center"/>
    </xf>
    <xf numFmtId="0" fontId="28" fillId="2" borderId="6" xfId="81" applyNumberFormat="1" applyFont="1" applyFill="1" applyBorder="1" applyAlignment="1" applyProtection="1">
      <alignment vertical="center"/>
    </xf>
    <xf numFmtId="0" fontId="25" fillId="2" borderId="5" xfId="55" applyNumberFormat="1" applyFill="1" applyBorder="1">
      <alignment vertical="center"/>
    </xf>
    <xf numFmtId="0" fontId="28" fillId="2" borderId="22" xfId="81" applyNumberFormat="1" applyFont="1" applyFill="1" applyBorder="1" applyAlignment="1" applyProtection="1">
      <alignment vertical="center"/>
    </xf>
    <xf numFmtId="0" fontId="28" fillId="2" borderId="71" xfId="81" applyNumberFormat="1" applyFill="1" applyBorder="1" applyAlignment="1" applyProtection="1">
      <alignment vertical="center"/>
    </xf>
    <xf numFmtId="0" fontId="0" fillId="2" borderId="98" xfId="0" applyNumberFormat="1" applyFill="1" applyBorder="1" applyAlignment="1">
      <alignment vertical="center"/>
    </xf>
    <xf numFmtId="176" fontId="0" fillId="2" borderId="70" xfId="0" applyNumberFormat="1" applyFill="1" applyBorder="1">
      <alignment vertical="center"/>
    </xf>
    <xf numFmtId="0" fontId="28" fillId="2" borderId="10" xfId="81" applyNumberFormat="1" applyFont="1" applyFill="1" applyBorder="1" applyAlignment="1" applyProtection="1">
      <alignment vertical="center"/>
    </xf>
    <xf numFmtId="176" fontId="0" fillId="25" borderId="140" xfId="0" applyNumberFormat="1" applyFill="1" applyBorder="1">
      <alignment vertical="center"/>
    </xf>
    <xf numFmtId="176" fontId="0" fillId="25" borderId="140" xfId="0" applyNumberFormat="1" applyFill="1" applyBorder="1" applyAlignment="1">
      <alignment horizontal="right" vertical="center" shrinkToFit="1"/>
    </xf>
    <xf numFmtId="176" fontId="0" fillId="25" borderId="129" xfId="0" applyNumberFormat="1" applyFill="1" applyBorder="1" applyAlignment="1">
      <alignment horizontal="right" vertical="center" shrinkToFit="1"/>
    </xf>
    <xf numFmtId="176" fontId="0" fillId="25" borderId="70" xfId="0" applyNumberFormat="1" applyFill="1" applyBorder="1" applyAlignment="1">
      <alignment horizontal="right" vertical="center" shrinkToFit="1"/>
    </xf>
    <xf numFmtId="0" fontId="28" fillId="25" borderId="71" xfId="81" applyNumberFormat="1" applyFont="1" applyFill="1" applyBorder="1" applyAlignment="1" applyProtection="1">
      <alignment vertical="center"/>
    </xf>
    <xf numFmtId="0" fontId="0" fillId="25" borderId="98" xfId="0" applyNumberFormat="1" applyFill="1" applyBorder="1" applyAlignment="1">
      <alignment vertical="center"/>
    </xf>
    <xf numFmtId="176" fontId="0" fillId="25" borderId="140" xfId="0" applyNumberFormat="1" applyFill="1" applyBorder="1" applyAlignment="1">
      <alignment vertical="center" shrinkToFit="1"/>
    </xf>
    <xf numFmtId="0" fontId="28" fillId="25" borderId="98" xfId="81" applyNumberFormat="1" applyFont="1" applyFill="1" applyBorder="1" applyAlignment="1" applyProtection="1">
      <alignment vertical="center"/>
    </xf>
    <xf numFmtId="0" fontId="28" fillId="25" borderId="71" xfId="81" applyNumberFormat="1" applyFill="1" applyBorder="1" applyAlignment="1" applyProtection="1">
      <alignment vertical="center"/>
    </xf>
    <xf numFmtId="0" fontId="25" fillId="25" borderId="98" xfId="55" applyNumberFormat="1" applyFill="1" applyBorder="1">
      <alignment vertical="center"/>
    </xf>
    <xf numFmtId="0" fontId="28" fillId="25" borderId="98" xfId="81" applyNumberFormat="1" applyFill="1" applyBorder="1" applyAlignment="1" applyProtection="1">
      <alignment vertical="center"/>
    </xf>
    <xf numFmtId="0" fontId="28" fillId="25" borderId="142" xfId="81" applyNumberFormat="1" applyFill="1" applyBorder="1" applyAlignment="1" applyProtection="1">
      <alignment vertical="center"/>
    </xf>
    <xf numFmtId="0" fontId="25" fillId="25" borderId="143" xfId="55" applyNumberFormat="1" applyFill="1" applyBorder="1">
      <alignment vertical="center"/>
    </xf>
    <xf numFmtId="0" fontId="42" fillId="2" borderId="8" xfId="87" applyNumberFormat="1" applyFont="1" applyFill="1" applyBorder="1" applyAlignment="1" applyProtection="1">
      <alignment vertical="center"/>
    </xf>
    <xf numFmtId="0" fontId="42" fillId="2" borderId="10" xfId="87" applyNumberFormat="1" applyFont="1" applyFill="1" applyBorder="1" applyAlignment="1" applyProtection="1">
      <alignment vertical="center"/>
    </xf>
    <xf numFmtId="0" fontId="28" fillId="2" borderId="142" xfId="81" applyNumberFormat="1" applyFill="1" applyBorder="1" applyAlignment="1" applyProtection="1">
      <alignment vertical="center"/>
    </xf>
    <xf numFmtId="0" fontId="0" fillId="2" borderId="85" xfId="0" applyNumberFormat="1" applyFill="1" applyBorder="1">
      <alignment vertical="center"/>
    </xf>
    <xf numFmtId="0" fontId="0" fillId="25" borderId="52" xfId="0" applyNumberFormat="1" applyFill="1" applyBorder="1">
      <alignment vertical="center"/>
    </xf>
    <xf numFmtId="176" fontId="0" fillId="25" borderId="129" xfId="0" applyNumberFormat="1" applyFill="1" applyBorder="1" applyAlignment="1">
      <alignment vertical="center" shrinkToFit="1"/>
    </xf>
    <xf numFmtId="0" fontId="0" fillId="25" borderId="95" xfId="0" applyNumberFormat="1" applyFill="1" applyBorder="1">
      <alignment vertical="center"/>
    </xf>
    <xf numFmtId="176" fontId="40" fillId="25" borderId="95" xfId="0" applyNumberFormat="1" applyFont="1" applyFill="1" applyBorder="1" applyAlignment="1">
      <alignment vertical="center" shrinkToFit="1"/>
    </xf>
    <xf numFmtId="176" fontId="0" fillId="2" borderId="144" xfId="0" applyNumberFormat="1" applyFill="1" applyBorder="1">
      <alignment vertical="center"/>
    </xf>
    <xf numFmtId="176" fontId="0" fillId="2" borderId="144" xfId="0" applyNumberFormat="1" applyFill="1" applyBorder="1" applyAlignment="1">
      <alignment vertical="center" shrinkToFit="1"/>
    </xf>
    <xf numFmtId="176" fontId="0" fillId="2" borderId="145" xfId="0" applyNumberFormat="1" applyFill="1" applyBorder="1" applyAlignment="1">
      <alignment vertical="center" shrinkToFit="1"/>
    </xf>
    <xf numFmtId="0" fontId="0" fillId="25" borderId="93" xfId="0" applyNumberFormat="1" applyFill="1" applyBorder="1">
      <alignment vertical="center"/>
    </xf>
    <xf numFmtId="0" fontId="0" fillId="25" borderId="85" xfId="0" applyNumberFormat="1" applyFill="1" applyBorder="1">
      <alignment vertical="center"/>
    </xf>
    <xf numFmtId="176" fontId="40" fillId="25" borderId="93" xfId="0" applyNumberFormat="1" applyFont="1" applyFill="1" applyBorder="1" applyAlignment="1">
      <alignment vertical="center" shrinkToFit="1"/>
    </xf>
    <xf numFmtId="176" fontId="0" fillId="2" borderId="146" xfId="0" applyNumberFormat="1" applyFill="1" applyBorder="1">
      <alignment vertical="center"/>
    </xf>
    <xf numFmtId="176" fontId="0" fillId="2" borderId="146" xfId="0" applyNumberFormat="1" applyFill="1" applyBorder="1" applyAlignment="1">
      <alignment vertical="center" shrinkToFit="1"/>
    </xf>
    <xf numFmtId="176" fontId="0" fillId="2" borderId="147" xfId="0" applyNumberFormat="1" applyFill="1" applyBorder="1" applyAlignment="1">
      <alignment vertical="center" shrinkToFit="1"/>
    </xf>
    <xf numFmtId="176" fontId="0" fillId="25" borderId="78" xfId="0" applyNumberFormat="1" applyFill="1" applyBorder="1" applyAlignment="1">
      <alignment horizontal="right" vertical="center" shrinkToFit="1"/>
    </xf>
    <xf numFmtId="176" fontId="0" fillId="2" borderId="148" xfId="0" applyNumberFormat="1" applyFill="1" applyBorder="1">
      <alignment vertical="center"/>
    </xf>
    <xf numFmtId="176" fontId="0" fillId="2" borderId="148" xfId="0" applyNumberFormat="1" applyFill="1" applyBorder="1" applyAlignment="1">
      <alignment vertical="center" shrinkToFit="1"/>
    </xf>
    <xf numFmtId="176" fontId="0" fillId="2" borderId="149" xfId="0" applyNumberFormat="1" applyFill="1" applyBorder="1" applyAlignment="1">
      <alignment vertical="center" shrinkToFit="1"/>
    </xf>
    <xf numFmtId="176" fontId="0" fillId="2" borderId="150" xfId="0" applyNumberFormat="1" applyFill="1" applyBorder="1">
      <alignment vertical="center"/>
    </xf>
    <xf numFmtId="176" fontId="0" fillId="2" borderId="150" xfId="0" applyNumberFormat="1" applyFill="1" applyBorder="1" applyAlignment="1">
      <alignment vertical="center" shrinkToFit="1"/>
    </xf>
    <xf numFmtId="176" fontId="0" fillId="2" borderId="151" xfId="0" applyNumberFormat="1" applyFill="1" applyBorder="1" applyAlignment="1">
      <alignment vertical="center" shrinkToFit="1"/>
    </xf>
    <xf numFmtId="0" fontId="28" fillId="2" borderId="37" xfId="81" applyNumberFormat="1" applyFill="1" applyBorder="1" applyAlignment="1" applyProtection="1">
      <alignment vertical="center"/>
    </xf>
    <xf numFmtId="0" fontId="28" fillId="2" borderId="6" xfId="81" applyNumberFormat="1" applyFill="1" applyBorder="1" applyAlignment="1" applyProtection="1">
      <alignment vertical="center"/>
    </xf>
    <xf numFmtId="0" fontId="28" fillId="2" borderId="7" xfId="81" applyNumberFormat="1" applyFill="1" applyBorder="1" applyAlignment="1" applyProtection="1">
      <alignment vertical="center"/>
    </xf>
    <xf numFmtId="0" fontId="28" fillId="2" borderId="5" xfId="81" applyNumberFormat="1" applyFill="1" applyBorder="1" applyAlignment="1" applyProtection="1">
      <alignment vertical="center"/>
    </xf>
    <xf numFmtId="0" fontId="28" fillId="25" borderId="28" xfId="81" applyNumberFormat="1" applyFill="1" applyBorder="1" applyAlignment="1" applyProtection="1">
      <alignment vertical="center"/>
    </xf>
    <xf numFmtId="176" fontId="0" fillId="25" borderId="140" xfId="0" applyNumberFormat="1" applyFill="1" applyBorder="1" applyAlignment="1">
      <alignment vertical="center"/>
    </xf>
    <xf numFmtId="176" fontId="0" fillId="25" borderId="129" xfId="0" applyNumberFormat="1" applyFill="1" applyBorder="1" applyAlignment="1">
      <alignment vertical="center"/>
    </xf>
    <xf numFmtId="176" fontId="0" fillId="25" borderId="70" xfId="0" applyNumberFormat="1" applyFill="1" applyBorder="1">
      <alignment vertical="center"/>
    </xf>
    <xf numFmtId="0" fontId="28" fillId="2" borderId="0" xfId="81" applyNumberFormat="1" applyFill="1" applyBorder="1" applyAlignment="1" applyProtection="1">
      <alignment vertical="center"/>
    </xf>
    <xf numFmtId="0" fontId="28" fillId="2" borderId="154" xfId="81" applyNumberFormat="1" applyFill="1" applyBorder="1" applyAlignment="1" applyProtection="1">
      <alignment vertical="center"/>
    </xf>
    <xf numFmtId="0" fontId="0" fillId="2" borderId="95" xfId="0" applyNumberFormat="1" applyFill="1" applyBorder="1" applyAlignment="1">
      <alignment vertical="center"/>
    </xf>
    <xf numFmtId="0" fontId="0" fillId="2" borderId="140" xfId="0" applyNumberFormat="1" applyFill="1" applyBorder="1" applyAlignment="1">
      <alignment vertical="center"/>
    </xf>
    <xf numFmtId="0" fontId="0" fillId="2" borderId="129" xfId="0" applyNumberFormat="1" applyFill="1" applyBorder="1" applyAlignment="1">
      <alignment vertical="center"/>
    </xf>
    <xf numFmtId="0" fontId="0" fillId="2" borderId="70" xfId="0" applyNumberFormat="1" applyFill="1" applyBorder="1">
      <alignment vertical="center"/>
    </xf>
    <xf numFmtId="0" fontId="28" fillId="2" borderId="22" xfId="81" applyNumberFormat="1" applyFill="1" applyBorder="1" applyAlignment="1" applyProtection="1">
      <alignment vertical="center"/>
    </xf>
    <xf numFmtId="0" fontId="28" fillId="2" borderId="98" xfId="81" applyNumberFormat="1" applyFill="1" applyBorder="1" applyAlignment="1" applyProtection="1">
      <alignment vertical="center"/>
    </xf>
    <xf numFmtId="0" fontId="28" fillId="2" borderId="28" xfId="81" applyNumberFormat="1" applyFill="1" applyBorder="1" applyAlignment="1" applyProtection="1">
      <alignment vertical="center"/>
    </xf>
    <xf numFmtId="0" fontId="28" fillId="2" borderId="28" xfId="81" applyNumberFormat="1" applyFont="1" applyFill="1" applyBorder="1" applyAlignment="1" applyProtection="1">
      <alignment vertical="center"/>
    </xf>
    <xf numFmtId="0" fontId="28" fillId="2" borderId="75" xfId="81" applyNumberFormat="1" applyFont="1" applyFill="1" applyBorder="1" applyAlignment="1" applyProtection="1">
      <alignment vertical="center"/>
    </xf>
    <xf numFmtId="176" fontId="0" fillId="2" borderId="140" xfId="0" applyNumberFormat="1" applyFill="1" applyBorder="1" applyAlignment="1">
      <alignment vertical="center"/>
    </xf>
    <xf numFmtId="176" fontId="0" fillId="2" borderId="129" xfId="0" applyNumberFormat="1" applyFill="1" applyBorder="1" applyAlignment="1">
      <alignment vertical="center"/>
    </xf>
    <xf numFmtId="0" fontId="28" fillId="2" borderId="29" xfId="81" applyNumberFormat="1" applyFill="1" applyBorder="1" applyAlignment="1" applyProtection="1">
      <alignment vertical="center"/>
    </xf>
    <xf numFmtId="0" fontId="28" fillId="25" borderId="28" xfId="81" applyNumberFormat="1" applyFont="1" applyFill="1" applyBorder="1" applyAlignment="1" applyProtection="1">
      <alignment vertical="center"/>
    </xf>
    <xf numFmtId="0" fontId="28" fillId="2" borderId="74" xfId="81" applyNumberFormat="1" applyFill="1" applyBorder="1" applyAlignment="1" applyProtection="1">
      <alignment vertical="center"/>
    </xf>
    <xf numFmtId="0" fontId="28" fillId="2" borderId="85" xfId="81" applyNumberFormat="1" applyFill="1" applyBorder="1" applyAlignment="1" applyProtection="1">
      <alignment vertical="center"/>
    </xf>
    <xf numFmtId="0" fontId="28" fillId="2" borderId="14" xfId="81" applyNumberFormat="1" applyFill="1" applyBorder="1" applyAlignment="1" applyProtection="1">
      <alignment vertical="center"/>
    </xf>
    <xf numFmtId="0" fontId="28" fillId="2" borderId="75" xfId="81" applyNumberFormat="1" applyFill="1" applyBorder="1" applyAlignment="1" applyProtection="1">
      <alignment vertical="center"/>
    </xf>
    <xf numFmtId="0" fontId="28" fillId="2" borderId="9" xfId="81" applyNumberFormat="1" applyFill="1" applyBorder="1" applyAlignment="1" applyProtection="1">
      <alignment vertical="center"/>
    </xf>
    <xf numFmtId="0" fontId="28" fillId="25" borderId="74" xfId="81" applyNumberFormat="1" applyFill="1" applyBorder="1" applyAlignment="1" applyProtection="1">
      <alignment vertical="center"/>
    </xf>
    <xf numFmtId="0" fontId="28" fillId="25" borderId="85" xfId="81" applyNumberFormat="1" applyFont="1" applyFill="1" applyBorder="1" applyAlignment="1" applyProtection="1">
      <alignment vertical="center"/>
    </xf>
    <xf numFmtId="0" fontId="28" fillId="25" borderId="14" xfId="81" applyNumberFormat="1" applyFont="1" applyFill="1" applyBorder="1" applyAlignment="1" applyProtection="1">
      <alignment vertical="center"/>
    </xf>
    <xf numFmtId="176" fontId="0" fillId="25" borderId="78" xfId="0" applyNumberFormat="1" applyFill="1" applyBorder="1">
      <alignment vertical="center"/>
    </xf>
    <xf numFmtId="0" fontId="28" fillId="2" borderId="46" xfId="81" applyNumberFormat="1" applyFill="1" applyBorder="1" applyAlignment="1" applyProtection="1">
      <alignment vertical="center"/>
    </xf>
    <xf numFmtId="176" fontId="0" fillId="2" borderId="96" xfId="0" applyNumberFormat="1" applyFill="1" applyBorder="1" applyAlignment="1">
      <alignment vertical="center"/>
    </xf>
    <xf numFmtId="0" fontId="0" fillId="2" borderId="37" xfId="0" applyNumberFormat="1" applyFill="1" applyBorder="1">
      <alignment vertical="center"/>
    </xf>
    <xf numFmtId="0" fontId="0" fillId="2" borderId="6" xfId="0" applyNumberFormat="1" applyFill="1" applyBorder="1">
      <alignment vertical="center"/>
    </xf>
    <xf numFmtId="0" fontId="0" fillId="2" borderId="37" xfId="0" applyNumberFormat="1" applyFill="1" applyBorder="1" applyAlignment="1">
      <alignment vertical="center"/>
    </xf>
    <xf numFmtId="185" fontId="0" fillId="2" borderId="158" xfId="0" applyNumberFormat="1" applyFill="1" applyBorder="1" applyAlignment="1">
      <alignment vertical="center"/>
    </xf>
    <xf numFmtId="0" fontId="0" fillId="2" borderId="23" xfId="0" applyNumberFormat="1" applyFill="1" applyBorder="1">
      <alignment vertical="center"/>
    </xf>
    <xf numFmtId="185" fontId="0" fillId="2" borderId="140" xfId="0" applyNumberFormat="1" applyFill="1" applyBorder="1" applyAlignment="1">
      <alignment vertical="center"/>
    </xf>
    <xf numFmtId="185" fontId="0" fillId="2" borderId="129" xfId="0" applyNumberFormat="1" applyFill="1" applyBorder="1" applyAlignment="1">
      <alignment vertical="center"/>
    </xf>
    <xf numFmtId="185" fontId="0" fillId="2" borderId="70" xfId="0" applyNumberFormat="1" applyFill="1" applyBorder="1" applyAlignment="1">
      <alignment horizontal="right" vertical="center"/>
    </xf>
    <xf numFmtId="176" fontId="0" fillId="2" borderId="144" xfId="0" applyNumberFormat="1" applyFill="1" applyBorder="1" applyAlignment="1">
      <alignment vertical="center"/>
    </xf>
    <xf numFmtId="176" fontId="0" fillId="2" borderId="145" xfId="0" applyNumberFormat="1" applyFill="1" applyBorder="1" applyAlignment="1">
      <alignment vertical="center"/>
    </xf>
    <xf numFmtId="0" fontId="0" fillId="25" borderId="74" xfId="0" applyNumberFormat="1" applyFill="1" applyBorder="1">
      <alignment vertical="center"/>
    </xf>
    <xf numFmtId="176" fontId="0" fillId="25" borderId="78" xfId="0" applyNumberFormat="1" applyFill="1" applyBorder="1" applyAlignment="1">
      <alignment horizontal="right" vertical="center"/>
    </xf>
    <xf numFmtId="0" fontId="0" fillId="25" borderId="22" xfId="0" applyNumberFormat="1" applyFill="1" applyBorder="1">
      <alignment vertical="center"/>
    </xf>
    <xf numFmtId="0" fontId="0" fillId="25" borderId="0" xfId="0" applyNumberFormat="1" applyFill="1" applyBorder="1">
      <alignment vertical="center"/>
    </xf>
    <xf numFmtId="176" fontId="0" fillId="25" borderId="159" xfId="0" applyNumberFormat="1" applyFill="1" applyBorder="1">
      <alignment vertical="center"/>
    </xf>
    <xf numFmtId="176" fontId="0" fillId="25" borderId="93" xfId="0" applyNumberFormat="1" applyFill="1" applyBorder="1" applyAlignment="1">
      <alignment vertical="center"/>
    </xf>
    <xf numFmtId="176" fontId="0" fillId="2" borderId="146" xfId="0" applyNumberFormat="1" applyFill="1" applyBorder="1" applyAlignment="1">
      <alignment vertical="center"/>
    </xf>
    <xf numFmtId="176" fontId="0" fillId="2" borderId="147" xfId="0" applyNumberFormat="1" applyFill="1" applyBorder="1" applyAlignment="1">
      <alignment vertical="center"/>
    </xf>
    <xf numFmtId="0" fontId="0" fillId="2" borderId="46" xfId="0" applyNumberFormat="1" applyFill="1" applyBorder="1">
      <alignment vertical="center"/>
    </xf>
    <xf numFmtId="0" fontId="0" fillId="2" borderId="53" xfId="0" applyNumberFormat="1" applyFill="1" applyBorder="1">
      <alignment vertical="center"/>
    </xf>
    <xf numFmtId="0" fontId="0" fillId="2" borderId="47" xfId="0" applyNumberFormat="1" applyFill="1" applyBorder="1">
      <alignment vertical="center"/>
    </xf>
    <xf numFmtId="0" fontId="0" fillId="25" borderId="65" xfId="0" applyNumberFormat="1" applyFill="1" applyBorder="1">
      <alignment vertical="center"/>
    </xf>
    <xf numFmtId="0" fontId="0" fillId="25" borderId="94" xfId="0" applyNumberFormat="1" applyFill="1" applyBorder="1">
      <alignment vertical="center"/>
    </xf>
    <xf numFmtId="176" fontId="0" fillId="25" borderId="96" xfId="0" applyNumberFormat="1" applyFill="1" applyBorder="1" applyAlignment="1">
      <alignment vertical="center"/>
    </xf>
    <xf numFmtId="176" fontId="0" fillId="2" borderId="160" xfId="0" applyNumberFormat="1" applyFill="1" applyBorder="1" applyAlignment="1">
      <alignment vertical="center"/>
    </xf>
    <xf numFmtId="176" fontId="0" fillId="2" borderId="161" xfId="0" applyNumberFormat="1" applyFill="1" applyBorder="1" applyAlignment="1">
      <alignment vertical="center"/>
    </xf>
    <xf numFmtId="176" fontId="0" fillId="25" borderId="68" xfId="0" applyNumberFormat="1" applyFill="1" applyBorder="1" applyAlignment="1">
      <alignment horizontal="right" vertical="center"/>
    </xf>
    <xf numFmtId="0" fontId="0" fillId="2" borderId="44" xfId="0" applyNumberFormat="1" applyFill="1" applyBorder="1">
      <alignment vertical="center"/>
    </xf>
    <xf numFmtId="0" fontId="0" fillId="2" borderId="40" xfId="0" applyNumberFormat="1" applyFill="1" applyBorder="1">
      <alignment vertical="center"/>
    </xf>
    <xf numFmtId="0" fontId="0" fillId="2" borderId="7" xfId="0" applyNumberFormat="1" applyFill="1" applyBorder="1">
      <alignment vertical="center"/>
    </xf>
    <xf numFmtId="0" fontId="0" fillId="2" borderId="28" xfId="0" applyNumberFormat="1" applyFill="1" applyBorder="1">
      <alignment vertical="center"/>
    </xf>
    <xf numFmtId="0" fontId="0" fillId="2" borderId="65" xfId="0" applyNumberFormat="1" applyFill="1" applyBorder="1">
      <alignment vertical="center"/>
    </xf>
    <xf numFmtId="0" fontId="0" fillId="2" borderId="19" xfId="0" applyNumberFormat="1" applyFill="1" applyBorder="1">
      <alignment vertical="center"/>
    </xf>
    <xf numFmtId="176" fontId="0" fillId="2" borderId="68" xfId="0" applyNumberFormat="1" applyFill="1" applyBorder="1" applyAlignment="1">
      <alignment horizontal="right" vertical="center"/>
    </xf>
    <xf numFmtId="177" fontId="0" fillId="2" borderId="0" xfId="0" applyNumberFormat="1" applyFill="1">
      <alignment vertical="center"/>
    </xf>
    <xf numFmtId="0" fontId="0" fillId="2" borderId="43" xfId="3" applyFont="1" applyFill="1" applyBorder="1" applyProtection="1">
      <alignment vertical="center"/>
    </xf>
    <xf numFmtId="0" fontId="0" fillId="2" borderId="134" xfId="3" applyFont="1" applyFill="1" applyBorder="1" applyAlignment="1" applyProtection="1">
      <alignment vertical="center"/>
    </xf>
    <xf numFmtId="176" fontId="0" fillId="2" borderId="12" xfId="0" applyNumberFormat="1" applyFill="1" applyBorder="1" applyAlignment="1">
      <alignment vertical="center" shrinkToFit="1"/>
    </xf>
    <xf numFmtId="176" fontId="0" fillId="2" borderId="29" xfId="0" applyNumberFormat="1" applyFill="1" applyBorder="1" applyAlignment="1">
      <alignment vertical="center" shrinkToFit="1"/>
    </xf>
    <xf numFmtId="0" fontId="0" fillId="2" borderId="12" xfId="3" applyFont="1" applyFill="1" applyBorder="1" applyProtection="1">
      <alignment vertical="center"/>
    </xf>
    <xf numFmtId="0" fontId="0" fillId="2" borderId="28" xfId="3" applyFont="1" applyFill="1" applyBorder="1" applyAlignment="1" applyProtection="1">
      <alignment vertical="center"/>
    </xf>
    <xf numFmtId="176" fontId="0" fillId="2" borderId="73" xfId="0" applyNumberFormat="1" applyFill="1" applyBorder="1" applyAlignment="1">
      <alignment vertical="center" shrinkToFit="1"/>
    </xf>
    <xf numFmtId="176" fontId="0" fillId="2" borderId="69" xfId="0" applyNumberFormat="1" applyFill="1" applyBorder="1" applyAlignment="1">
      <alignment vertical="center" shrinkToFit="1"/>
    </xf>
    <xf numFmtId="0" fontId="0" fillId="2" borderId="17" xfId="3" applyFont="1" applyFill="1" applyBorder="1" applyProtection="1">
      <alignment vertical="center"/>
    </xf>
    <xf numFmtId="0" fontId="7" fillId="2" borderId="65" xfId="3" applyFill="1" applyBorder="1" applyAlignment="1" applyProtection="1">
      <alignment horizontal="left" vertical="top"/>
    </xf>
    <xf numFmtId="0" fontId="0" fillId="2" borderId="19" xfId="3" applyFont="1" applyFill="1" applyBorder="1" applyAlignment="1" applyProtection="1">
      <alignment vertical="center"/>
    </xf>
    <xf numFmtId="176" fontId="0" fillId="2" borderId="67" xfId="0" applyNumberFormat="1" applyFill="1" applyBorder="1" applyAlignment="1">
      <alignment vertical="center" shrinkToFit="1"/>
    </xf>
    <xf numFmtId="176" fontId="0" fillId="2" borderId="66" xfId="0" applyNumberFormat="1" applyFill="1" applyBorder="1" applyAlignment="1">
      <alignment vertical="center" shrinkToFit="1"/>
    </xf>
    <xf numFmtId="176" fontId="0" fillId="2" borderId="22" xfId="0" applyNumberFormat="1" applyFill="1" applyBorder="1" applyAlignment="1">
      <alignment vertical="center" shrinkToFit="1"/>
    </xf>
    <xf numFmtId="176" fontId="0" fillId="2" borderId="71" xfId="0" applyNumberFormat="1" applyFill="1" applyBorder="1" applyAlignment="1">
      <alignment vertical="center" shrinkToFit="1"/>
    </xf>
    <xf numFmtId="176" fontId="0" fillId="2" borderId="65" xfId="0" applyNumberFormat="1" applyFill="1" applyBorder="1" applyAlignment="1">
      <alignment vertical="center" shrinkToFit="1"/>
    </xf>
    <xf numFmtId="176" fontId="0" fillId="2" borderId="36" xfId="0" applyNumberFormat="1" applyFill="1" applyBorder="1" applyAlignment="1">
      <alignment vertical="center" shrinkToFit="1"/>
    </xf>
    <xf numFmtId="176" fontId="0" fillId="2" borderId="162" xfId="0" applyNumberFormat="1" applyFill="1" applyBorder="1" applyAlignment="1">
      <alignment vertical="center" shrinkToFit="1"/>
    </xf>
    <xf numFmtId="176" fontId="0" fillId="2" borderId="106" xfId="0" applyNumberFormat="1" applyFill="1" applyBorder="1" applyAlignment="1">
      <alignment vertical="center" shrinkToFit="1"/>
    </xf>
    <xf numFmtId="176" fontId="0" fillId="2" borderId="107" xfId="0" applyNumberFormat="1" applyFill="1" applyBorder="1" applyAlignment="1">
      <alignment vertical="center" shrinkToFit="1"/>
    </xf>
    <xf numFmtId="0" fontId="34" fillId="2" borderId="0" xfId="0" applyFont="1" applyFill="1" applyBorder="1">
      <alignment vertical="center"/>
    </xf>
    <xf numFmtId="0" fontId="7" fillId="2" borderId="134" xfId="2" applyFont="1" applyFill="1" applyBorder="1" applyAlignment="1" applyProtection="1">
      <alignment vertical="center"/>
    </xf>
    <xf numFmtId="176" fontId="7" fillId="2" borderId="8" xfId="2" applyNumberFormat="1" applyFont="1" applyFill="1" applyBorder="1" applyAlignment="1" applyProtection="1">
      <alignment vertical="center"/>
    </xf>
    <xf numFmtId="176" fontId="7" fillId="2" borderId="9" xfId="2" applyNumberFormat="1" applyFont="1" applyFill="1" applyBorder="1" applyAlignment="1" applyProtection="1">
      <alignment vertical="center"/>
    </xf>
    <xf numFmtId="176" fontId="7" fillId="2" borderId="10" xfId="2" applyNumberFormat="1" applyFont="1" applyFill="1" applyBorder="1" applyAlignment="1" applyProtection="1">
      <alignment vertical="center"/>
    </xf>
    <xf numFmtId="0" fontId="7" fillId="2" borderId="71" xfId="2" applyFont="1" applyFill="1" applyBorder="1" applyAlignment="1" applyProtection="1">
      <alignment vertical="center"/>
    </xf>
    <xf numFmtId="0" fontId="0" fillId="2" borderId="28" xfId="0" applyFill="1" applyBorder="1">
      <alignment vertical="center"/>
    </xf>
    <xf numFmtId="176" fontId="7" fillId="25" borderId="73" xfId="2" applyNumberFormat="1" applyFill="1" applyBorder="1" applyAlignment="1" applyProtection="1">
      <alignment vertical="center"/>
      <protection locked="0"/>
    </xf>
    <xf numFmtId="176" fontId="7" fillId="25" borderId="69" xfId="2" applyNumberFormat="1" applyFont="1" applyFill="1" applyBorder="1" applyAlignment="1" applyProtection="1">
      <alignment vertical="center"/>
      <protection locked="0"/>
    </xf>
    <xf numFmtId="176" fontId="7" fillId="25" borderId="71" xfId="2" applyNumberFormat="1" applyFont="1" applyFill="1" applyBorder="1" applyAlignment="1" applyProtection="1">
      <alignment vertical="center"/>
      <protection locked="0"/>
    </xf>
    <xf numFmtId="0" fontId="7" fillId="2" borderId="17" xfId="2" applyFont="1" applyFill="1" applyBorder="1" applyAlignment="1" applyProtection="1">
      <alignment vertical="center"/>
    </xf>
    <xf numFmtId="0" fontId="7" fillId="2" borderId="65" xfId="2" applyFont="1" applyFill="1" applyBorder="1" applyAlignment="1" applyProtection="1">
      <alignment vertical="center"/>
    </xf>
    <xf numFmtId="0" fontId="0" fillId="2" borderId="19" xfId="0" applyFill="1" applyBorder="1">
      <alignment vertical="center"/>
    </xf>
    <xf numFmtId="176" fontId="7" fillId="2" borderId="163" xfId="2" applyNumberFormat="1" applyFont="1" applyFill="1" applyBorder="1" applyAlignment="1" applyProtection="1">
      <alignment vertical="center"/>
    </xf>
    <xf numFmtId="176" fontId="7" fillId="25" borderId="106" xfId="2" applyNumberFormat="1" applyFont="1" applyFill="1" applyBorder="1" applyAlignment="1" applyProtection="1">
      <alignment vertical="center"/>
      <protection locked="0"/>
    </xf>
    <xf numFmtId="176" fontId="0" fillId="0" borderId="141" xfId="0" applyNumberFormat="1" applyFill="1" applyBorder="1">
      <alignment vertical="center"/>
    </xf>
    <xf numFmtId="176" fontId="0" fillId="0" borderId="91" xfId="0" applyNumberFormat="1" applyFill="1" applyBorder="1">
      <alignment vertical="center"/>
    </xf>
    <xf numFmtId="176" fontId="0" fillId="0" borderId="164" xfId="0" applyNumberFormat="1" applyFill="1" applyBorder="1">
      <alignment vertical="center"/>
    </xf>
    <xf numFmtId="176" fontId="0" fillId="0" borderId="90" xfId="0" applyNumberFormat="1" applyFill="1" applyBorder="1" applyAlignment="1">
      <alignment vertical="center" shrinkToFit="1"/>
    </xf>
    <xf numFmtId="180" fontId="0" fillId="0" borderId="92" xfId="86" applyNumberFormat="1" applyFont="1" applyFill="1" applyBorder="1" applyAlignment="1">
      <alignment horizontal="right" vertical="center" shrinkToFit="1"/>
    </xf>
    <xf numFmtId="176" fontId="0" fillId="0" borderId="165" xfId="0" applyNumberFormat="1" applyFill="1" applyBorder="1">
      <alignment vertical="center"/>
    </xf>
    <xf numFmtId="180" fontId="0" fillId="0" borderId="166" xfId="86" applyNumberFormat="1" applyFont="1" applyFill="1" applyBorder="1" applyAlignment="1">
      <alignment horizontal="right" vertical="center"/>
    </xf>
    <xf numFmtId="0" fontId="41" fillId="25" borderId="71" xfId="81" applyNumberFormat="1" applyFont="1" applyFill="1" applyBorder="1" applyAlignment="1" applyProtection="1">
      <alignment vertical="center"/>
    </xf>
    <xf numFmtId="0" fontId="0" fillId="25" borderId="28" xfId="0" applyNumberFormat="1" applyFill="1" applyBorder="1" applyAlignment="1">
      <alignment vertical="center"/>
    </xf>
    <xf numFmtId="0" fontId="0" fillId="2" borderId="43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vertical="center" shrinkToFit="1"/>
    </xf>
    <xf numFmtId="176" fontId="0" fillId="2" borderId="95" xfId="0" applyNumberFormat="1" applyFill="1" applyBorder="1" applyAlignment="1">
      <alignment vertical="center"/>
    </xf>
    <xf numFmtId="176" fontId="0" fillId="25" borderId="95" xfId="0" applyNumberFormat="1" applyFill="1" applyBorder="1" applyAlignment="1">
      <alignment vertical="center"/>
    </xf>
    <xf numFmtId="0" fontId="0" fillId="2" borderId="31" xfId="0" applyNumberFormat="1" applyFill="1" applyBorder="1" applyAlignment="1">
      <alignment horizontal="center" vertical="center"/>
    </xf>
    <xf numFmtId="183" fontId="36" fillId="26" borderId="167" xfId="2" applyNumberFormat="1" applyFont="1" applyFill="1" applyBorder="1" applyAlignment="1" applyProtection="1">
      <alignment horizontal="right" vertical="center"/>
    </xf>
    <xf numFmtId="183" fontId="36" fillId="26" borderId="168" xfId="2" applyNumberFormat="1" applyFont="1" applyFill="1" applyBorder="1" applyAlignment="1" applyProtection="1">
      <alignment horizontal="right" vertical="center"/>
    </xf>
    <xf numFmtId="183" fontId="36" fillId="26" borderId="169" xfId="2" applyNumberFormat="1" applyFont="1" applyFill="1" applyBorder="1" applyAlignment="1" applyProtection="1">
      <alignment horizontal="right" vertical="center"/>
    </xf>
    <xf numFmtId="183" fontId="36" fillId="26" borderId="170" xfId="2" applyNumberFormat="1" applyFont="1" applyFill="1" applyBorder="1" applyAlignment="1" applyProtection="1">
      <alignment vertical="center"/>
    </xf>
    <xf numFmtId="183" fontId="36" fillId="26" borderId="171" xfId="2" applyNumberFormat="1" applyFont="1" applyFill="1" applyBorder="1" applyAlignment="1" applyProtection="1">
      <alignment vertical="center"/>
    </xf>
    <xf numFmtId="49" fontId="0" fillId="2" borderId="105" xfId="0" applyNumberFormat="1" applyFill="1" applyBorder="1">
      <alignment vertical="center"/>
    </xf>
    <xf numFmtId="180" fontId="0" fillId="27" borderId="71" xfId="86" applyNumberFormat="1" applyFont="1" applyFill="1" applyBorder="1" applyAlignment="1">
      <alignment horizontal="right" vertical="center"/>
    </xf>
    <xf numFmtId="176" fontId="25" fillId="27" borderId="129" xfId="55" applyNumberFormat="1" applyFill="1" applyBorder="1" applyAlignment="1">
      <alignment horizontal="right" vertical="center"/>
    </xf>
    <xf numFmtId="176" fontId="0" fillId="27" borderId="140" xfId="0" applyNumberFormat="1" applyFill="1" applyBorder="1">
      <alignment vertical="center"/>
    </xf>
    <xf numFmtId="176" fontId="0" fillId="27" borderId="140" xfId="0" applyNumberFormat="1" applyFill="1" applyBorder="1" applyAlignment="1">
      <alignment horizontal="right" vertical="center" shrinkToFit="1"/>
    </xf>
    <xf numFmtId="176" fontId="0" fillId="27" borderId="129" xfId="0" applyNumberFormat="1" applyFill="1" applyBorder="1" applyAlignment="1">
      <alignment horizontal="right" vertical="center" shrinkToFit="1"/>
    </xf>
    <xf numFmtId="176" fontId="0" fillId="27" borderId="70" xfId="0" applyNumberFormat="1" applyFill="1" applyBorder="1">
      <alignment vertical="center"/>
    </xf>
    <xf numFmtId="176" fontId="0" fillId="27" borderId="70" xfId="0" applyNumberFormat="1" applyFill="1" applyBorder="1" applyAlignment="1">
      <alignment horizontal="right" vertical="center" shrinkToFit="1"/>
    </xf>
    <xf numFmtId="176" fontId="0" fillId="27" borderId="140" xfId="0" applyNumberFormat="1" applyFill="1" applyBorder="1" applyAlignment="1">
      <alignment vertical="center" shrinkToFit="1"/>
    </xf>
    <xf numFmtId="176" fontId="0" fillId="27" borderId="129" xfId="0" applyNumberFormat="1" applyFill="1" applyBorder="1" applyAlignment="1">
      <alignment vertical="center" shrinkToFit="1"/>
    </xf>
    <xf numFmtId="176" fontId="0" fillId="27" borderId="152" xfId="0" applyNumberFormat="1" applyFill="1" applyBorder="1" applyAlignment="1">
      <alignment vertical="center"/>
    </xf>
    <xf numFmtId="176" fontId="0" fillId="27" borderId="153" xfId="0" applyNumberFormat="1" applyFill="1" applyBorder="1" applyAlignment="1">
      <alignment vertical="center"/>
    </xf>
    <xf numFmtId="176" fontId="0" fillId="27" borderId="42" xfId="0" applyNumberFormat="1" applyFill="1" applyBorder="1">
      <alignment vertical="center"/>
    </xf>
    <xf numFmtId="176" fontId="0" fillId="27" borderId="70" xfId="0" applyNumberFormat="1" applyFill="1" applyBorder="1" applyAlignment="1">
      <alignment horizontal="right" vertical="center"/>
    </xf>
    <xf numFmtId="180" fontId="0" fillId="27" borderId="70" xfId="0" applyNumberFormat="1" applyFill="1" applyBorder="1" applyAlignment="1">
      <alignment horizontal="right" vertical="center"/>
    </xf>
    <xf numFmtId="180" fontId="0" fillId="27" borderId="68" xfId="0" applyNumberFormat="1" applyFill="1" applyBorder="1" applyAlignment="1">
      <alignment horizontal="right" vertical="center"/>
    </xf>
    <xf numFmtId="176" fontId="25" fillId="27" borderId="132" xfId="55" applyNumberFormat="1" applyFill="1" applyBorder="1" applyAlignment="1">
      <alignment horizontal="right" vertical="center"/>
    </xf>
    <xf numFmtId="180" fontId="25" fillId="27" borderId="71" xfId="55" applyNumberFormat="1" applyFill="1" applyBorder="1" applyAlignment="1">
      <alignment horizontal="right" vertical="center"/>
    </xf>
    <xf numFmtId="180" fontId="25" fillId="27" borderId="130" xfId="55" applyNumberFormat="1" applyFill="1" applyBorder="1" applyAlignment="1">
      <alignment horizontal="right" vertical="center"/>
    </xf>
    <xf numFmtId="180" fontId="25" fillId="27" borderId="133" xfId="55" applyNumberFormat="1" applyFill="1" applyBorder="1" applyAlignment="1">
      <alignment horizontal="right" vertical="center"/>
    </xf>
    <xf numFmtId="180" fontId="25" fillId="27" borderId="65" xfId="55" applyNumberFormat="1" applyFill="1" applyBorder="1" applyAlignment="1">
      <alignment horizontal="right" vertical="center"/>
    </xf>
    <xf numFmtId="176" fontId="7" fillId="27" borderId="35" xfId="81" applyNumberFormat="1" applyFont="1" applyFill="1" applyBorder="1" applyAlignment="1" applyProtection="1">
      <alignment vertical="center" shrinkToFit="1"/>
    </xf>
    <xf numFmtId="176" fontId="7" fillId="27" borderId="95" xfId="81" applyNumberFormat="1" applyFont="1" applyFill="1" applyBorder="1" applyAlignment="1" applyProtection="1">
      <alignment vertical="center" shrinkToFit="1"/>
    </xf>
    <xf numFmtId="176" fontId="40" fillId="27" borderId="95" xfId="0" applyNumberFormat="1" applyFont="1" applyFill="1" applyBorder="1">
      <alignment vertical="center"/>
    </xf>
    <xf numFmtId="176" fontId="7" fillId="27" borderId="141" xfId="81" applyNumberFormat="1" applyFont="1" applyFill="1" applyBorder="1" applyAlignment="1" applyProtection="1">
      <alignment vertical="center" shrinkToFit="1"/>
    </xf>
    <xf numFmtId="176" fontId="0" fillId="27" borderId="138" xfId="0" applyNumberFormat="1" applyFill="1" applyBorder="1">
      <alignment vertical="center"/>
    </xf>
    <xf numFmtId="176" fontId="0" fillId="27" borderId="138" xfId="0" applyNumberFormat="1" applyFill="1" applyBorder="1" applyAlignment="1">
      <alignment horizontal="right" vertical="center" shrinkToFit="1"/>
    </xf>
    <xf numFmtId="176" fontId="0" fillId="27" borderId="139" xfId="0" applyNumberFormat="1" applyFill="1" applyBorder="1" applyAlignment="1">
      <alignment horizontal="right" vertical="center" shrinkToFit="1"/>
    </xf>
    <xf numFmtId="176" fontId="0" fillId="27" borderId="11" xfId="0" applyNumberFormat="1" applyFill="1" applyBorder="1" applyAlignment="1">
      <alignment horizontal="right" vertical="center" shrinkToFit="1"/>
    </xf>
    <xf numFmtId="176" fontId="40" fillId="27" borderId="31" xfId="0" applyNumberFormat="1" applyFont="1" applyFill="1" applyBorder="1" applyAlignment="1">
      <alignment vertical="center" shrinkToFit="1"/>
    </xf>
    <xf numFmtId="176" fontId="0" fillId="27" borderId="4" xfId="0" applyNumberFormat="1" applyFill="1" applyBorder="1" applyAlignment="1">
      <alignment horizontal="right" vertical="center" shrinkToFit="1"/>
    </xf>
    <xf numFmtId="176" fontId="0" fillId="27" borderId="37" xfId="0" applyNumberFormat="1" applyFill="1" applyBorder="1" applyAlignment="1">
      <alignment vertical="center"/>
    </xf>
    <xf numFmtId="176" fontId="0" fillId="27" borderId="95" xfId="0" applyNumberFormat="1" applyFill="1" applyBorder="1" applyAlignment="1">
      <alignment vertical="center"/>
    </xf>
    <xf numFmtId="180" fontId="0" fillId="27" borderId="71" xfId="0" applyNumberFormat="1" applyFill="1" applyBorder="1" applyAlignment="1">
      <alignment vertical="center"/>
    </xf>
    <xf numFmtId="180" fontId="0" fillId="27" borderId="140" xfId="0" applyNumberFormat="1" applyFill="1" applyBorder="1" applyAlignment="1">
      <alignment vertical="center"/>
    </xf>
    <xf numFmtId="180" fontId="0" fillId="27" borderId="129" xfId="0" applyNumberFormat="1" applyFill="1" applyBorder="1" applyAlignment="1">
      <alignment vertical="center"/>
    </xf>
    <xf numFmtId="180" fontId="0" fillId="27" borderId="70" xfId="0" applyNumberFormat="1" applyFill="1" applyBorder="1">
      <alignment vertical="center"/>
    </xf>
    <xf numFmtId="176" fontId="0" fillId="27" borderId="93" xfId="0" applyNumberFormat="1" applyFill="1" applyBorder="1" applyAlignment="1">
      <alignment vertical="center"/>
    </xf>
    <xf numFmtId="176" fontId="0" fillId="27" borderId="155" xfId="0" applyNumberFormat="1" applyFill="1" applyBorder="1" applyAlignment="1">
      <alignment vertical="center"/>
    </xf>
    <xf numFmtId="176" fontId="0" fillId="27" borderId="156" xfId="0" applyNumberFormat="1" applyFill="1" applyBorder="1" applyAlignment="1">
      <alignment vertical="center"/>
    </xf>
    <xf numFmtId="176" fontId="0" fillId="27" borderId="78" xfId="0" applyNumberFormat="1" applyFill="1" applyBorder="1">
      <alignment vertical="center"/>
    </xf>
    <xf numFmtId="176" fontId="0" fillId="27" borderId="129" xfId="0" applyNumberFormat="1" applyFill="1" applyBorder="1">
      <alignment vertical="center"/>
    </xf>
    <xf numFmtId="176" fontId="0" fillId="27" borderId="96" xfId="0" applyNumberFormat="1" applyFill="1" applyBorder="1" applyAlignment="1">
      <alignment vertical="center"/>
    </xf>
    <xf numFmtId="176" fontId="0" fillId="27" borderId="157" xfId="0" applyNumberFormat="1" applyFill="1" applyBorder="1">
      <alignment vertical="center"/>
    </xf>
    <xf numFmtId="176" fontId="0" fillId="27" borderId="132" xfId="0" applyNumberFormat="1" applyFill="1" applyBorder="1">
      <alignment vertical="center"/>
    </xf>
    <xf numFmtId="176" fontId="0" fillId="27" borderId="68" xfId="0" applyNumberFormat="1" applyFill="1" applyBorder="1">
      <alignment vertical="center"/>
    </xf>
    <xf numFmtId="0" fontId="0" fillId="27" borderId="152" xfId="0" applyNumberFormat="1" applyFill="1" applyBorder="1" applyAlignment="1">
      <alignment vertical="center"/>
    </xf>
    <xf numFmtId="0" fontId="0" fillId="27" borderId="153" xfId="0" applyNumberFormat="1" applyFill="1" applyBorder="1" applyAlignment="1">
      <alignment vertical="center"/>
    </xf>
    <xf numFmtId="0" fontId="0" fillId="27" borderId="42" xfId="0" applyNumberFormat="1" applyFill="1" applyBorder="1" applyAlignment="1">
      <alignment horizontal="right" vertical="center"/>
    </xf>
    <xf numFmtId="49" fontId="0" fillId="2" borderId="33" xfId="0" applyNumberFormat="1" applyFill="1" applyBorder="1" applyAlignment="1">
      <alignment vertical="center" shrinkToFit="1"/>
    </xf>
    <xf numFmtId="0" fontId="7" fillId="2" borderId="67" xfId="2" applyNumberFormat="1" applyFont="1" applyFill="1" applyBorder="1" applyAlignment="1" applyProtection="1">
      <alignment horizontal="right" vertical="center"/>
      <protection locked="0"/>
    </xf>
    <xf numFmtId="0" fontId="7" fillId="2" borderId="66" xfId="2" applyNumberFormat="1" applyFont="1" applyFill="1" applyBorder="1" applyAlignment="1" applyProtection="1">
      <alignment horizontal="right" vertical="center"/>
      <protection locked="0"/>
    </xf>
    <xf numFmtId="0" fontId="7" fillId="2" borderId="65" xfId="2" applyNumberFormat="1" applyFont="1" applyFill="1" applyBorder="1" applyAlignment="1" applyProtection="1">
      <alignment horizontal="right" vertical="center"/>
      <protection locked="0"/>
    </xf>
    <xf numFmtId="0" fontId="7" fillId="2" borderId="107" xfId="2" applyNumberFormat="1" applyFont="1" applyFill="1" applyBorder="1" applyAlignment="1" applyProtection="1">
      <alignment horizontal="right" vertical="center"/>
      <protection locked="0"/>
    </xf>
    <xf numFmtId="0" fontId="0" fillId="28" borderId="71" xfId="0" applyNumberFormat="1" applyFill="1" applyBorder="1">
      <alignment vertical="center"/>
    </xf>
    <xf numFmtId="0" fontId="0" fillId="28" borderId="98" xfId="0" applyNumberFormat="1" applyFill="1" applyBorder="1">
      <alignment vertical="center"/>
    </xf>
    <xf numFmtId="176" fontId="0" fillId="2" borderId="95" xfId="0" applyNumberFormat="1" applyFill="1" applyBorder="1" applyAlignment="1">
      <alignment vertical="center" shrinkToFit="1"/>
    </xf>
    <xf numFmtId="176" fontId="0" fillId="2" borderId="72" xfId="0" applyNumberFormat="1" applyFill="1" applyBorder="1" applyAlignment="1">
      <alignment vertical="center" shrinkToFit="1"/>
    </xf>
    <xf numFmtId="0" fontId="36" fillId="2" borderId="172" xfId="2" applyFont="1" applyFill="1" applyBorder="1" applyAlignment="1">
      <alignment horizontal="left" vertical="center"/>
    </xf>
    <xf numFmtId="183" fontId="36" fillId="26" borderId="173" xfId="2" applyNumberFormat="1" applyFont="1" applyFill="1" applyBorder="1" applyAlignment="1" applyProtection="1">
      <alignment horizontal="right" vertical="center"/>
    </xf>
    <xf numFmtId="183" fontId="36" fillId="26" borderId="174" xfId="2" applyNumberFormat="1" applyFont="1" applyFill="1" applyBorder="1" applyAlignment="1" applyProtection="1">
      <alignment horizontal="right" vertical="center"/>
    </xf>
    <xf numFmtId="0" fontId="0" fillId="2" borderId="178" xfId="0" applyNumberFormat="1" applyFill="1" applyBorder="1">
      <alignment vertical="center"/>
    </xf>
    <xf numFmtId="0" fontId="43" fillId="2" borderId="0" xfId="0" applyNumberFormat="1" applyFont="1" applyFill="1">
      <alignment vertical="center"/>
    </xf>
    <xf numFmtId="0" fontId="28" fillId="25" borderId="177" xfId="81" applyNumberFormat="1" applyFill="1" applyBorder="1" applyAlignment="1" applyProtection="1">
      <alignment vertical="center"/>
    </xf>
    <xf numFmtId="0" fontId="28" fillId="25" borderId="183" xfId="81" applyNumberFormat="1" applyFill="1" applyBorder="1" applyAlignment="1" applyProtection="1">
      <alignment vertical="center"/>
    </xf>
    <xf numFmtId="176" fontId="0" fillId="27" borderId="176" xfId="0" applyNumberFormat="1" applyFill="1" applyBorder="1" applyAlignment="1">
      <alignment vertical="center"/>
    </xf>
    <xf numFmtId="0" fontId="28" fillId="25" borderId="184" xfId="81" applyNumberFormat="1" applyFont="1" applyFill="1" applyBorder="1" applyAlignment="1" applyProtection="1">
      <alignment vertical="center"/>
    </xf>
    <xf numFmtId="0" fontId="28" fillId="25" borderId="29" xfId="81" applyNumberFormat="1" applyFont="1" applyFill="1" applyBorder="1" applyAlignment="1" applyProtection="1">
      <alignment vertical="center"/>
    </xf>
    <xf numFmtId="0" fontId="28" fillId="25" borderId="9" xfId="81" applyNumberFormat="1" applyFont="1" applyFill="1" applyBorder="1" applyAlignment="1" applyProtection="1">
      <alignment vertical="center"/>
    </xf>
    <xf numFmtId="176" fontId="0" fillId="26" borderId="179" xfId="0" applyNumberFormat="1" applyFill="1" applyBorder="1" applyAlignment="1">
      <alignment vertical="center"/>
    </xf>
    <xf numFmtId="176" fontId="0" fillId="26" borderId="180" xfId="0" applyNumberFormat="1" applyFill="1" applyBorder="1" applyAlignment="1">
      <alignment vertical="center"/>
    </xf>
    <xf numFmtId="176" fontId="0" fillId="26" borderId="181" xfId="0" applyNumberFormat="1" applyFill="1" applyBorder="1">
      <alignment vertical="center"/>
    </xf>
    <xf numFmtId="0" fontId="0" fillId="2" borderId="195" xfId="0" applyNumberFormat="1" applyFill="1" applyBorder="1">
      <alignment vertical="center"/>
    </xf>
    <xf numFmtId="176" fontId="7" fillId="26" borderId="188" xfId="81" applyNumberFormat="1" applyFont="1" applyFill="1" applyBorder="1" applyAlignment="1" applyProtection="1">
      <alignment vertical="center" shrinkToFit="1"/>
    </xf>
    <xf numFmtId="176" fontId="40" fillId="26" borderId="189" xfId="0" applyNumberFormat="1" applyFont="1" applyFill="1" applyBorder="1">
      <alignment vertical="center"/>
    </xf>
    <xf numFmtId="176" fontId="40" fillId="26" borderId="189" xfId="0" applyNumberFormat="1" applyFont="1" applyFill="1" applyBorder="1" applyAlignment="1">
      <alignment vertical="center" shrinkToFit="1"/>
    </xf>
    <xf numFmtId="176" fontId="40" fillId="26" borderId="190" xfId="0" applyNumberFormat="1" applyFont="1" applyFill="1" applyBorder="1" applyAlignment="1">
      <alignment vertical="center" shrinkToFit="1"/>
    </xf>
    <xf numFmtId="176" fontId="40" fillId="26" borderId="186" xfId="0" applyNumberFormat="1" applyFont="1" applyFill="1" applyBorder="1" applyAlignment="1">
      <alignment horizontal="right" vertical="center" shrinkToFit="1"/>
    </xf>
    <xf numFmtId="176" fontId="7" fillId="26" borderId="192" xfId="0" applyNumberFormat="1" applyFont="1" applyFill="1" applyBorder="1">
      <alignment vertical="center"/>
    </xf>
    <xf numFmtId="176" fontId="7" fillId="26" borderId="192" xfId="0" applyNumberFormat="1" applyFont="1" applyFill="1" applyBorder="1" applyAlignment="1">
      <alignment vertical="center" shrinkToFit="1"/>
    </xf>
    <xf numFmtId="176" fontId="7" fillId="26" borderId="193" xfId="0" applyNumberFormat="1" applyFont="1" applyFill="1" applyBorder="1" applyAlignment="1">
      <alignment vertical="center" shrinkToFit="1"/>
    </xf>
    <xf numFmtId="176" fontId="7" fillId="26" borderId="187" xfId="0" applyNumberFormat="1" applyFont="1" applyFill="1" applyBorder="1" applyAlignment="1">
      <alignment horizontal="right" vertical="center" shrinkToFit="1"/>
    </xf>
    <xf numFmtId="176" fontId="7" fillId="26" borderId="194" xfId="0" applyNumberFormat="1" applyFont="1" applyFill="1" applyBorder="1" applyAlignment="1">
      <alignment vertical="center" shrinkToFit="1"/>
    </xf>
    <xf numFmtId="184" fontId="7" fillId="26" borderId="192" xfId="0" applyNumberFormat="1" applyFont="1" applyFill="1" applyBorder="1" applyAlignment="1">
      <alignment vertical="center" shrinkToFit="1"/>
    </xf>
    <xf numFmtId="184" fontId="7" fillId="26" borderId="193" xfId="0" applyNumberFormat="1" applyFont="1" applyFill="1" applyBorder="1" applyAlignment="1">
      <alignment vertical="center" shrinkToFit="1"/>
    </xf>
    <xf numFmtId="184" fontId="7" fillId="26" borderId="187" xfId="0" applyNumberFormat="1" applyFont="1" applyFill="1" applyBorder="1" applyAlignment="1">
      <alignment vertical="center" shrinkToFit="1"/>
    </xf>
    <xf numFmtId="176" fontId="44" fillId="26" borderId="194" xfId="0" applyNumberFormat="1" applyFont="1" applyFill="1" applyBorder="1" applyAlignment="1">
      <alignment vertical="center" shrinkToFit="1"/>
    </xf>
    <xf numFmtId="184" fontId="7" fillId="26" borderId="204" xfId="0" applyNumberFormat="1" applyFont="1" applyFill="1" applyBorder="1" applyAlignment="1">
      <alignment vertical="center" shrinkToFit="1"/>
    </xf>
    <xf numFmtId="176" fontId="7" fillId="26" borderId="191" xfId="0" applyNumberFormat="1" applyFont="1" applyFill="1" applyBorder="1" applyAlignment="1">
      <alignment vertical="center" shrinkToFit="1"/>
    </xf>
    <xf numFmtId="183" fontId="36" fillId="26" borderId="175" xfId="2" applyNumberFormat="1" applyFont="1" applyFill="1" applyBorder="1" applyAlignment="1" applyProtection="1">
      <alignment horizontal="center" vertical="center"/>
    </xf>
    <xf numFmtId="183" fontId="36" fillId="26" borderId="113" xfId="2" applyNumberFormat="1" applyFont="1" applyFill="1" applyBorder="1" applyAlignment="1" applyProtection="1">
      <alignment horizontal="center" vertical="center"/>
    </xf>
    <xf numFmtId="180" fontId="36" fillId="26" borderId="117" xfId="2" applyNumberFormat="1" applyFont="1" applyFill="1" applyBorder="1" applyAlignment="1" applyProtection="1">
      <alignment vertical="center"/>
    </xf>
    <xf numFmtId="180" fontId="36" fillId="26" borderId="111" xfId="2" applyNumberFormat="1" applyFont="1" applyFill="1" applyBorder="1" applyAlignment="1" applyProtection="1">
      <alignment vertical="center"/>
    </xf>
    <xf numFmtId="180" fontId="36" fillId="26" borderId="114" xfId="2" applyNumberFormat="1" applyFont="1" applyFill="1" applyBorder="1" applyAlignment="1" applyProtection="1">
      <alignment vertical="center"/>
    </xf>
    <xf numFmtId="0" fontId="40" fillId="2" borderId="185" xfId="0" applyNumberFormat="1" applyFont="1" applyFill="1" applyBorder="1">
      <alignment vertical="center"/>
    </xf>
    <xf numFmtId="0" fontId="40" fillId="2" borderId="197" xfId="0" applyNumberFormat="1" applyFont="1" applyFill="1" applyBorder="1">
      <alignment vertical="center"/>
    </xf>
    <xf numFmtId="0" fontId="40" fillId="2" borderId="199" xfId="0" applyNumberFormat="1" applyFont="1" applyFill="1" applyBorder="1">
      <alignment vertical="center"/>
    </xf>
    <xf numFmtId="0" fontId="7" fillId="2" borderId="200" xfId="0" applyNumberFormat="1" applyFont="1" applyFill="1" applyBorder="1">
      <alignment vertical="center"/>
    </xf>
    <xf numFmtId="0" fontId="7" fillId="2" borderId="182" xfId="0" applyNumberFormat="1" applyFont="1" applyFill="1" applyBorder="1">
      <alignment vertical="center"/>
    </xf>
    <xf numFmtId="0" fontId="7" fillId="2" borderId="177" xfId="0" applyNumberFormat="1" applyFont="1" applyFill="1" applyBorder="1">
      <alignment vertical="center"/>
    </xf>
    <xf numFmtId="0" fontId="44" fillId="2" borderId="177" xfId="0" applyNumberFormat="1" applyFont="1" applyFill="1" applyBorder="1">
      <alignment vertical="center"/>
    </xf>
    <xf numFmtId="0" fontId="44" fillId="2" borderId="203" xfId="0" applyNumberFormat="1" applyFont="1" applyFill="1" applyBorder="1">
      <alignment vertical="center"/>
    </xf>
    <xf numFmtId="0" fontId="7" fillId="2" borderId="184" xfId="0" applyNumberFormat="1" applyFont="1" applyFill="1" applyBorder="1">
      <alignment vertical="center"/>
    </xf>
    <xf numFmtId="0" fontId="7" fillId="2" borderId="178" xfId="0" applyNumberFormat="1" applyFont="1" applyFill="1" applyBorder="1">
      <alignment vertical="center"/>
    </xf>
    <xf numFmtId="0" fontId="44" fillId="2" borderId="178" xfId="0" applyNumberFormat="1" applyFont="1" applyFill="1" applyBorder="1">
      <alignment vertical="center"/>
    </xf>
    <xf numFmtId="0" fontId="44" fillId="2" borderId="201" xfId="0" applyNumberFormat="1" applyFont="1" applyFill="1" applyBorder="1">
      <alignment vertical="center"/>
    </xf>
    <xf numFmtId="0" fontId="44" fillId="2" borderId="200" xfId="0" applyNumberFormat="1" applyFont="1" applyFill="1" applyBorder="1">
      <alignment vertical="center"/>
    </xf>
    <xf numFmtId="0" fontId="7" fillId="2" borderId="197" xfId="0" applyNumberFormat="1" applyFont="1" applyFill="1" applyBorder="1">
      <alignment vertical="center"/>
    </xf>
    <xf numFmtId="0" fontId="7" fillId="2" borderId="199" xfId="0" applyNumberFormat="1" applyFont="1" applyFill="1" applyBorder="1">
      <alignment vertical="center"/>
    </xf>
    <xf numFmtId="0" fontId="44" fillId="2" borderId="22" xfId="0" applyNumberFormat="1" applyFont="1" applyFill="1" applyBorder="1">
      <alignment vertical="center"/>
    </xf>
    <xf numFmtId="0" fontId="7" fillId="2" borderId="196" xfId="0" applyNumberFormat="1" applyFont="1" applyFill="1" applyBorder="1">
      <alignment vertical="center"/>
    </xf>
    <xf numFmtId="0" fontId="7" fillId="2" borderId="22" xfId="0" applyNumberFormat="1" applyFont="1" applyFill="1" applyBorder="1">
      <alignment vertical="center"/>
    </xf>
    <xf numFmtId="0" fontId="44" fillId="2" borderId="197" xfId="0" applyNumberFormat="1" applyFont="1" applyFill="1" applyBorder="1">
      <alignment vertical="center"/>
    </xf>
    <xf numFmtId="0" fontId="44" fillId="2" borderId="199" xfId="0" applyNumberFormat="1" applyFont="1" applyFill="1" applyBorder="1">
      <alignment vertical="center"/>
    </xf>
    <xf numFmtId="0" fontId="7" fillId="2" borderId="198" xfId="0" applyNumberFormat="1" applyFont="1" applyFill="1" applyBorder="1">
      <alignment vertical="center"/>
    </xf>
    <xf numFmtId="0" fontId="7" fillId="2" borderId="202" xfId="0" applyNumberFormat="1" applyFont="1" applyFill="1" applyBorder="1">
      <alignment vertical="center"/>
    </xf>
    <xf numFmtId="0" fontId="0" fillId="25" borderId="176" xfId="0" applyNumberFormat="1" applyFill="1" applyBorder="1">
      <alignment vertical="center"/>
    </xf>
    <xf numFmtId="0" fontId="7" fillId="2" borderId="206" xfId="0" applyNumberFormat="1" applyFont="1" applyFill="1" applyBorder="1">
      <alignment vertical="center"/>
    </xf>
    <xf numFmtId="0" fontId="44" fillId="2" borderId="205" xfId="0" applyNumberFormat="1" applyFont="1" applyFill="1" applyBorder="1">
      <alignment vertical="center"/>
    </xf>
    <xf numFmtId="186" fontId="0" fillId="25" borderId="140" xfId="0" applyNumberFormat="1" applyFill="1" applyBorder="1" applyAlignment="1">
      <alignment vertical="center"/>
    </xf>
    <xf numFmtId="186" fontId="0" fillId="25" borderId="129" xfId="0" applyNumberFormat="1" applyFill="1" applyBorder="1" applyAlignment="1">
      <alignment vertical="center"/>
    </xf>
    <xf numFmtId="186" fontId="0" fillId="25" borderId="70" xfId="0" applyNumberFormat="1" applyFill="1" applyBorder="1" applyAlignment="1">
      <alignment horizontal="right" vertical="center"/>
    </xf>
    <xf numFmtId="186" fontId="0" fillId="28" borderId="140" xfId="0" applyNumberFormat="1" applyFill="1" applyBorder="1" applyAlignment="1">
      <alignment vertical="center"/>
    </xf>
    <xf numFmtId="186" fontId="0" fillId="28" borderId="129" xfId="0" applyNumberFormat="1" applyFill="1" applyBorder="1" applyAlignment="1">
      <alignment vertical="center"/>
    </xf>
    <xf numFmtId="186" fontId="0" fillId="28" borderId="70" xfId="0" applyNumberFormat="1" applyFill="1" applyBorder="1" applyAlignment="1">
      <alignment horizontal="right" vertical="center"/>
    </xf>
    <xf numFmtId="10" fontId="40" fillId="25" borderId="46" xfId="0" applyNumberFormat="1" applyFont="1" applyFill="1" applyBorder="1" applyAlignment="1">
      <alignment vertical="center" shrinkToFit="1"/>
    </xf>
    <xf numFmtId="10" fontId="0" fillId="25" borderId="50" xfId="0" applyNumberFormat="1" applyFill="1" applyBorder="1" applyAlignment="1">
      <alignment horizontal="right" vertical="center" shrinkToFit="1"/>
    </xf>
    <xf numFmtId="10" fontId="7" fillId="26" borderId="192" xfId="0" applyNumberFormat="1" applyFont="1" applyFill="1" applyBorder="1" applyAlignment="1">
      <alignment vertical="center" shrinkToFit="1"/>
    </xf>
    <xf numFmtId="10" fontId="7" fillId="26" borderId="193" xfId="0" applyNumberFormat="1" applyFont="1" applyFill="1" applyBorder="1" applyAlignment="1">
      <alignment vertical="center" shrinkToFit="1"/>
    </xf>
    <xf numFmtId="10" fontId="7" fillId="26" borderId="187" xfId="0" applyNumberFormat="1" applyFont="1" applyFill="1" applyBorder="1" applyAlignment="1">
      <alignment vertical="center" shrinkToFit="1"/>
    </xf>
    <xf numFmtId="0" fontId="34" fillId="2" borderId="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0" fillId="25" borderId="31" xfId="0" applyFill="1" applyBorder="1" applyAlignment="1">
      <alignment horizontal="left" vertical="center" shrinkToFit="1"/>
    </xf>
    <xf numFmtId="0" fontId="0" fillId="25" borderId="54" xfId="0" applyFill="1" applyBorder="1" applyAlignment="1">
      <alignment horizontal="left" vertical="center" shrinkToFit="1"/>
    </xf>
    <xf numFmtId="49" fontId="0" fillId="25" borderId="31" xfId="0" applyNumberFormat="1" applyFill="1" applyBorder="1" applyAlignment="1">
      <alignment horizontal="left" vertical="center"/>
    </xf>
    <xf numFmtId="49" fontId="0" fillId="25" borderId="54" xfId="0" applyNumberFormat="1" applyFill="1" applyBorder="1" applyAlignment="1">
      <alignment horizontal="left" vertical="center"/>
    </xf>
    <xf numFmtId="49" fontId="0" fillId="25" borderId="31" xfId="0" applyNumberFormat="1" applyFill="1" applyBorder="1" applyAlignment="1">
      <alignment horizontal="left" vertical="center" shrinkToFit="1"/>
    </xf>
    <xf numFmtId="49" fontId="0" fillId="25" borderId="54" xfId="0" applyNumberFormat="1" applyFill="1" applyBorder="1" applyAlignment="1">
      <alignment horizontal="left" vertical="center" shrinkToFit="1"/>
    </xf>
    <xf numFmtId="0" fontId="0" fillId="2" borderId="31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25" borderId="31" xfId="0" applyNumberFormat="1" applyFill="1" applyBorder="1" applyAlignment="1">
      <alignment horizontal="left" vertical="center" shrinkToFit="1"/>
    </xf>
    <xf numFmtId="0" fontId="0" fillId="25" borderId="54" xfId="0" applyNumberFormat="1" applyFill="1" applyBorder="1" applyAlignment="1">
      <alignment horizontal="left" vertical="center" shrinkToFit="1"/>
    </xf>
    <xf numFmtId="0" fontId="0" fillId="25" borderId="54" xfId="0" applyNumberFormat="1" applyFill="1" applyBorder="1" applyAlignment="1">
      <alignment horizontal="left" vertical="center"/>
    </xf>
    <xf numFmtId="0" fontId="0" fillId="2" borderId="75" xfId="3" applyFont="1" applyFill="1" applyBorder="1" applyAlignment="1" applyProtection="1">
      <alignment horizontal="left" vertical="top" wrapText="1"/>
    </xf>
    <xf numFmtId="0" fontId="0" fillId="2" borderId="9" xfId="3" applyFont="1" applyFill="1" applyBorder="1" applyAlignment="1" applyProtection="1">
      <alignment horizontal="left" vertical="top" wrapText="1"/>
    </xf>
    <xf numFmtId="0" fontId="0" fillId="2" borderId="30" xfId="3" applyFont="1" applyFill="1" applyBorder="1" applyAlignment="1" applyProtection="1">
      <alignment horizontal="left" vertical="top" wrapText="1"/>
    </xf>
    <xf numFmtId="0" fontId="7" fillId="2" borderId="75" xfId="3" applyFont="1" applyFill="1" applyBorder="1" applyAlignment="1" applyProtection="1">
      <alignment horizontal="left" vertical="top" wrapText="1"/>
    </xf>
    <xf numFmtId="0" fontId="7" fillId="2" borderId="9" xfId="3" applyFont="1" applyFill="1" applyBorder="1" applyAlignment="1" applyProtection="1">
      <alignment horizontal="left" vertical="top" wrapText="1"/>
    </xf>
    <xf numFmtId="0" fontId="7" fillId="2" borderId="29" xfId="3" applyFont="1" applyFill="1" applyBorder="1" applyAlignment="1" applyProtection="1">
      <alignment horizontal="left" vertical="top" wrapText="1"/>
    </xf>
    <xf numFmtId="0" fontId="0" fillId="2" borderId="29" xfId="3" applyFont="1" applyFill="1" applyBorder="1" applyAlignment="1" applyProtection="1">
      <alignment horizontal="left" vertical="top" wrapText="1"/>
    </xf>
    <xf numFmtId="0" fontId="7" fillId="2" borderId="9" xfId="3" applyFont="1" applyFill="1" applyBorder="1" applyAlignment="1" applyProtection="1">
      <alignment horizontal="left" vertical="top"/>
    </xf>
    <xf numFmtId="176" fontId="0" fillId="25" borderId="95" xfId="0" applyNumberFormat="1" applyFill="1" applyBorder="1" applyAlignment="1">
      <alignment vertical="center"/>
    </xf>
    <xf numFmtId="176" fontId="0" fillId="25" borderId="98" xfId="0" applyNumberFormat="1" applyFill="1" applyBorder="1" applyAlignment="1">
      <alignment vertical="center"/>
    </xf>
    <xf numFmtId="176" fontId="0" fillId="25" borderId="72" xfId="0" applyNumberFormat="1" applyFill="1" applyBorder="1" applyAlignment="1">
      <alignment vertical="center"/>
    </xf>
    <xf numFmtId="176" fontId="0" fillId="25" borderId="31" xfId="0" applyNumberFormat="1" applyFill="1" applyBorder="1" applyAlignment="1">
      <alignment horizontal="right" vertical="center"/>
    </xf>
    <xf numFmtId="176" fontId="0" fillId="25" borderId="32" xfId="0" applyNumberFormat="1" applyFill="1" applyBorder="1" applyAlignment="1">
      <alignment horizontal="right" vertical="center"/>
    </xf>
    <xf numFmtId="176" fontId="0" fillId="25" borderId="54" xfId="0" applyNumberFormat="1" applyFill="1" applyBorder="1" applyAlignment="1">
      <alignment horizontal="right" vertical="center"/>
    </xf>
    <xf numFmtId="0" fontId="0" fillId="2" borderId="31" xfId="0" applyNumberFormat="1" applyFill="1" applyBorder="1" applyAlignment="1">
      <alignment horizontal="center" vertical="center"/>
    </xf>
    <xf numFmtId="0" fontId="0" fillId="2" borderId="32" xfId="0" applyNumberFormat="1" applyFill="1" applyBorder="1" applyAlignment="1">
      <alignment horizontal="center" vertical="center"/>
    </xf>
    <xf numFmtId="0" fontId="0" fillId="2" borderId="34" xfId="0" applyNumberFormat="1" applyFill="1" applyBorder="1" applyAlignment="1">
      <alignment horizontal="center" vertical="center"/>
    </xf>
    <xf numFmtId="176" fontId="0" fillId="27" borderId="37" xfId="0" applyNumberFormat="1" applyFill="1" applyBorder="1" applyAlignment="1">
      <alignment vertical="center"/>
    </xf>
    <xf numFmtId="0" fontId="0" fillId="27" borderId="6" xfId="0" applyFill="1" applyBorder="1">
      <alignment vertical="center"/>
    </xf>
    <xf numFmtId="0" fontId="0" fillId="27" borderId="38" xfId="0" applyFill="1" applyBorder="1">
      <alignment vertical="center"/>
    </xf>
    <xf numFmtId="176" fontId="0" fillId="27" borderId="95" xfId="0" applyNumberFormat="1" applyFill="1" applyBorder="1" applyAlignment="1">
      <alignment vertical="center"/>
    </xf>
    <xf numFmtId="176" fontId="0" fillId="27" borderId="98" xfId="0" applyNumberFormat="1" applyFill="1" applyBorder="1" applyAlignment="1">
      <alignment vertical="center"/>
    </xf>
    <xf numFmtId="176" fontId="0" fillId="27" borderId="72" xfId="0" applyNumberFormat="1" applyFill="1" applyBorder="1" applyAlignment="1">
      <alignment vertical="center"/>
    </xf>
    <xf numFmtId="176" fontId="0" fillId="27" borderId="95" xfId="0" applyNumberFormat="1" applyFill="1" applyBorder="1" applyAlignment="1">
      <alignment horizontal="right" vertical="center"/>
    </xf>
    <xf numFmtId="176" fontId="0" fillId="27" borderId="98" xfId="0" applyNumberFormat="1" applyFill="1" applyBorder="1" applyAlignment="1">
      <alignment horizontal="right" vertical="center"/>
    </xf>
    <xf numFmtId="176" fontId="0" fillId="27" borderId="72" xfId="0" applyNumberFormat="1" applyFill="1" applyBorder="1" applyAlignment="1">
      <alignment horizontal="right" vertical="center"/>
    </xf>
    <xf numFmtId="180" fontId="0" fillId="27" borderId="95" xfId="0" applyNumberFormat="1" applyFill="1" applyBorder="1" applyAlignment="1">
      <alignment vertical="center"/>
    </xf>
    <xf numFmtId="180" fontId="0" fillId="27" borderId="98" xfId="0" applyNumberFormat="1" applyFill="1" applyBorder="1" applyAlignment="1">
      <alignment vertical="center"/>
    </xf>
    <xf numFmtId="180" fontId="0" fillId="27" borderId="72" xfId="0" applyNumberFormat="1" applyFill="1" applyBorder="1" applyAlignment="1">
      <alignment vertical="center"/>
    </xf>
    <xf numFmtId="180" fontId="0" fillId="25" borderId="95" xfId="0" applyNumberFormat="1" applyFill="1" applyBorder="1" applyAlignment="1">
      <alignment vertical="center"/>
    </xf>
    <xf numFmtId="180" fontId="0" fillId="25" borderId="98" xfId="0" applyNumberFormat="1" applyFill="1" applyBorder="1" applyAlignment="1">
      <alignment vertical="center"/>
    </xf>
    <xf numFmtId="180" fontId="0" fillId="25" borderId="72" xfId="0" applyNumberFormat="1" applyFill="1" applyBorder="1" applyAlignment="1">
      <alignment vertical="center"/>
    </xf>
    <xf numFmtId="180" fontId="0" fillId="27" borderId="96" xfId="0" applyNumberFormat="1" applyFill="1" applyBorder="1" applyAlignment="1">
      <alignment vertical="center"/>
    </xf>
    <xf numFmtId="180" fontId="0" fillId="27" borderId="94" xfId="0" applyNumberFormat="1" applyFill="1" applyBorder="1" applyAlignment="1">
      <alignment vertical="center"/>
    </xf>
    <xf numFmtId="180" fontId="0" fillId="27" borderId="76" xfId="0" applyNumberFormat="1" applyFill="1" applyBorder="1" applyAlignment="1">
      <alignment vertical="center"/>
    </xf>
    <xf numFmtId="176" fontId="0" fillId="27" borderId="37" xfId="0" applyNumberFormat="1" applyFill="1" applyBorder="1" applyAlignment="1">
      <alignment horizontal="right" vertical="center"/>
    </xf>
    <xf numFmtId="176" fontId="0" fillId="27" borderId="6" xfId="0" applyNumberFormat="1" applyFill="1" applyBorder="1" applyAlignment="1">
      <alignment horizontal="right" vertical="center"/>
    </xf>
    <xf numFmtId="176" fontId="0" fillId="27" borderId="38" xfId="0" applyNumberFormat="1" applyFill="1" applyBorder="1" applyAlignment="1">
      <alignment horizontal="right" vertical="center"/>
    </xf>
    <xf numFmtId="176" fontId="25" fillId="27" borderId="95" xfId="55" applyNumberFormat="1" applyFill="1" applyBorder="1" applyAlignment="1">
      <alignment horizontal="right" vertical="center"/>
    </xf>
    <xf numFmtId="176" fontId="25" fillId="27" borderId="128" xfId="55" applyNumberFormat="1" applyFill="1" applyBorder="1" applyAlignment="1">
      <alignment horizontal="right" vertical="center"/>
    </xf>
    <xf numFmtId="180" fontId="0" fillId="27" borderId="95" xfId="0" applyNumberFormat="1" applyFill="1" applyBorder="1" applyAlignment="1">
      <alignment horizontal="right" vertical="center"/>
    </xf>
    <xf numFmtId="180" fontId="0" fillId="27" borderId="98" xfId="0" applyNumberFormat="1" applyFill="1" applyBorder="1" applyAlignment="1">
      <alignment horizontal="right" vertical="center"/>
    </xf>
    <xf numFmtId="180" fontId="0" fillId="27" borderId="72" xfId="0" applyNumberFormat="1" applyFill="1" applyBorder="1" applyAlignment="1">
      <alignment horizontal="right" vertical="center"/>
    </xf>
    <xf numFmtId="180" fontId="0" fillId="27" borderId="96" xfId="0" applyNumberFormat="1" applyFill="1" applyBorder="1" applyAlignment="1">
      <alignment horizontal="right" vertical="center"/>
    </xf>
    <xf numFmtId="180" fontId="0" fillId="27" borderId="94" xfId="0" applyNumberFormat="1" applyFill="1" applyBorder="1" applyAlignment="1">
      <alignment horizontal="right" vertical="center"/>
    </xf>
    <xf numFmtId="180" fontId="0" fillId="27" borderId="76" xfId="0" applyNumberFormat="1" applyFill="1" applyBorder="1" applyAlignment="1">
      <alignment horizontal="right" vertical="center"/>
    </xf>
    <xf numFmtId="0" fontId="25" fillId="2" borderId="118" xfId="55" applyNumberFormat="1" applyFill="1" applyBorder="1" applyAlignment="1">
      <alignment horizontal="center" vertical="center"/>
    </xf>
    <xf numFmtId="0" fontId="25" fillId="2" borderId="119" xfId="55" applyNumberFormat="1" applyFill="1" applyBorder="1" applyAlignment="1">
      <alignment horizontal="center" vertical="center"/>
    </xf>
    <xf numFmtId="0" fontId="25" fillId="2" borderId="120" xfId="55" applyNumberFormat="1" applyFill="1" applyBorder="1" applyAlignment="1">
      <alignment horizontal="center" vertical="center"/>
    </xf>
    <xf numFmtId="0" fontId="25" fillId="2" borderId="121" xfId="55" applyNumberFormat="1" applyFill="1" applyBorder="1" applyAlignment="1">
      <alignment horizontal="center" vertical="center"/>
    </xf>
    <xf numFmtId="0" fontId="25" fillId="2" borderId="122" xfId="55" applyNumberFormat="1" applyFill="1" applyBorder="1" applyAlignment="1">
      <alignment horizontal="center" vertical="center"/>
    </xf>
    <xf numFmtId="0" fontId="7" fillId="2" borderId="123" xfId="81" applyNumberFormat="1" applyFont="1" applyFill="1" applyBorder="1" applyAlignment="1" applyProtection="1">
      <alignment horizontal="center" vertical="center"/>
    </xf>
    <xf numFmtId="0" fontId="7" fillId="2" borderId="124" xfId="81" applyNumberFormat="1" applyFont="1" applyFill="1" applyBorder="1" applyAlignment="1" applyProtection="1">
      <alignment horizontal="center" vertical="center"/>
    </xf>
    <xf numFmtId="176" fontId="25" fillId="27" borderId="98" xfId="55" applyNumberFormat="1" applyFill="1" applyBorder="1" applyAlignment="1">
      <alignment horizontal="right" vertical="center"/>
    </xf>
    <xf numFmtId="176" fontId="25" fillId="27" borderId="96" xfId="55" applyNumberFormat="1" applyFill="1" applyBorder="1" applyAlignment="1">
      <alignment horizontal="right" vertical="center"/>
    </xf>
    <xf numFmtId="176" fontId="25" fillId="27" borderId="131" xfId="55" applyNumberFormat="1" applyFill="1" applyBorder="1" applyAlignment="1">
      <alignment horizontal="right" vertical="center"/>
    </xf>
    <xf numFmtId="0" fontId="0" fillId="2" borderId="135" xfId="0" applyNumberFormat="1" applyFill="1" applyBorder="1" applyAlignment="1">
      <alignment horizontal="center" vertical="center"/>
    </xf>
    <xf numFmtId="0" fontId="0" fillId="2" borderId="50" xfId="0" applyNumberFormat="1" applyFill="1" applyBorder="1" applyAlignment="1">
      <alignment horizontal="center" vertical="center"/>
    </xf>
    <xf numFmtId="0" fontId="41" fillId="25" borderId="69" xfId="81" applyNumberFormat="1" applyFont="1" applyFill="1" applyBorder="1" applyAlignment="1" applyProtection="1">
      <alignment vertical="center"/>
    </xf>
    <xf numFmtId="0" fontId="0" fillId="25" borderId="69" xfId="0" applyNumberFormat="1" applyFill="1" applyBorder="1" applyAlignment="1">
      <alignment vertical="center"/>
    </xf>
    <xf numFmtId="0" fontId="0" fillId="25" borderId="71" xfId="0" applyNumberFormat="1" applyFill="1" applyBorder="1" applyAlignment="1">
      <alignment vertical="center"/>
    </xf>
    <xf numFmtId="0" fontId="28" fillId="2" borderId="74" xfId="81" applyNumberFormat="1" applyFont="1" applyFill="1" applyBorder="1" applyAlignment="1" applyProtection="1">
      <alignment vertical="center" shrinkToFit="1"/>
    </xf>
    <xf numFmtId="0" fontId="0" fillId="2" borderId="85" xfId="0" applyNumberFormat="1" applyFill="1" applyBorder="1" applyAlignment="1">
      <alignment vertical="center" shrinkToFit="1"/>
    </xf>
    <xf numFmtId="0" fontId="28" fillId="2" borderId="71" xfId="81" applyNumberFormat="1" applyFont="1" applyFill="1" applyBorder="1" applyAlignment="1" applyProtection="1">
      <alignment vertical="center" shrinkToFit="1"/>
    </xf>
    <xf numFmtId="0" fontId="0" fillId="2" borderId="98" xfId="0" applyNumberFormat="1" applyFill="1" applyBorder="1" applyAlignment="1">
      <alignment vertical="center" shrinkToFit="1"/>
    </xf>
    <xf numFmtId="0" fontId="0" fillId="2" borderId="28" xfId="0" applyNumberFormat="1" applyFill="1" applyBorder="1" applyAlignment="1">
      <alignment vertical="center" shrinkToFit="1"/>
    </xf>
    <xf numFmtId="0" fontId="28" fillId="2" borderId="22" xfId="81" applyNumberFormat="1" applyFont="1" applyFill="1" applyBorder="1" applyAlignment="1" applyProtection="1">
      <alignment vertical="center" shrinkToFit="1"/>
    </xf>
    <xf numFmtId="0" fontId="0" fillId="2" borderId="0" xfId="0" applyNumberFormat="1" applyFill="1" applyBorder="1" applyAlignment="1">
      <alignment vertical="center" shrinkToFit="1"/>
    </xf>
    <xf numFmtId="0" fontId="0" fillId="2" borderId="154" xfId="0" applyNumberFormat="1" applyFill="1" applyBorder="1" applyAlignment="1">
      <alignment vertical="center" shrinkToFit="1"/>
    </xf>
    <xf numFmtId="0" fontId="28" fillId="2" borderId="65" xfId="81" applyNumberFormat="1" applyFont="1" applyFill="1" applyBorder="1" applyAlignment="1" applyProtection="1">
      <alignment vertical="center" shrinkToFit="1"/>
    </xf>
    <xf numFmtId="0" fontId="0" fillId="2" borderId="94" xfId="0" applyNumberFormat="1" applyFill="1" applyBorder="1" applyAlignment="1">
      <alignment vertical="center" shrinkToFit="1"/>
    </xf>
    <xf numFmtId="0" fontId="0" fillId="2" borderId="43" xfId="0" applyNumberFormat="1" applyFill="1" applyBorder="1" applyAlignment="1">
      <alignment horizontal="center" vertical="center"/>
    </xf>
    <xf numFmtId="0" fontId="0" fillId="2" borderId="51" xfId="0" applyNumberFormat="1" applyFill="1" applyBorder="1" applyAlignment="1">
      <alignment horizontal="center" vertical="center"/>
    </xf>
    <xf numFmtId="0" fontId="0" fillId="2" borderId="44" xfId="0" applyNumberFormat="1" applyFill="1" applyBorder="1" applyAlignment="1">
      <alignment horizontal="center" vertical="center"/>
    </xf>
  </cellXfs>
  <cellStyles count="88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チェック セル 2 2" xfId="66"/>
    <cellStyle name="チェック セル 2 2 2" xfId="78"/>
    <cellStyle name="チェック セル 2 2 3" xfId="82"/>
    <cellStyle name="チェック セル 2 2 4" xfId="84"/>
    <cellStyle name="チェック セル 2 3" xfId="74"/>
    <cellStyle name="チェック セル 2 3 2" xfId="79"/>
    <cellStyle name="チェック セル 2 3 3" xfId="83"/>
    <cellStyle name="チェック セル 2 3 4" xfId="85"/>
    <cellStyle name="チェック セル 2 4" xfId="77"/>
    <cellStyle name="チェック セル 2 5" xfId="80"/>
    <cellStyle name="どちらでもない 2" xfId="32"/>
    <cellStyle name="パーセント" xfId="86" builtinId="5"/>
    <cellStyle name="パーセント 2" xfId="33"/>
    <cellStyle name="パーセント 3" xfId="5"/>
    <cellStyle name="ハイパーリンク" xfId="1" builtinId="8"/>
    <cellStyle name="メモ 2" xfId="34"/>
    <cellStyle name="メモ 2 2" xfId="67"/>
    <cellStyle name="リンク セル 2" xfId="35"/>
    <cellStyle name="悪い 2" xfId="36"/>
    <cellStyle name="計算 2" xfId="37"/>
    <cellStyle name="計算 2 2" xfId="68"/>
    <cellStyle name="警告文 2" xfId="38"/>
    <cellStyle name="桁区切り 2" xfId="39"/>
    <cellStyle name="桁区切り 3" xfId="40"/>
    <cellStyle name="桁区切り 3 2" xfId="41"/>
    <cellStyle name="桁区切り 4" xfId="42"/>
    <cellStyle name="桁区切り 5" xfId="62"/>
    <cellStyle name="見出し 1 2" xfId="43"/>
    <cellStyle name="見出し 2 2" xfId="44"/>
    <cellStyle name="見出し 3 2" xfId="45"/>
    <cellStyle name="見出し 4 2" xfId="46"/>
    <cellStyle name="集計 2" xfId="47"/>
    <cellStyle name="集計 2 2" xfId="72"/>
    <cellStyle name="集計 2 2 2" xfId="75"/>
    <cellStyle name="集計 2 3" xfId="69"/>
    <cellStyle name="出力 2" xfId="48"/>
    <cellStyle name="出力 2 2" xfId="73"/>
    <cellStyle name="出力 2 2 2" xfId="76"/>
    <cellStyle name="出力 2 3" xfId="70"/>
    <cellStyle name="説明文 2" xfId="49"/>
    <cellStyle name="通貨 2" xfId="50"/>
    <cellStyle name="通貨 2 2" xfId="51"/>
    <cellStyle name="通貨 3" xfId="52"/>
    <cellStyle name="入力 2" xfId="53"/>
    <cellStyle name="入力 2 2" xfId="71"/>
    <cellStyle name="標準" xfId="0" builtinId="0"/>
    <cellStyle name="標準 2" xfId="2"/>
    <cellStyle name="標準 2 2" xfId="54"/>
    <cellStyle name="標準 3" xfId="55"/>
    <cellStyle name="標準 3 2" xfId="56"/>
    <cellStyle name="標準 3 3" xfId="57"/>
    <cellStyle name="標準 3_WS130401y" xfId="58"/>
    <cellStyle name="標準 4" xfId="59"/>
    <cellStyle name="標準 4 2" xfId="60"/>
    <cellStyle name="標準 5" xfId="63"/>
    <cellStyle name="標準 6" xfId="64"/>
    <cellStyle name="標準 7" xfId="65"/>
    <cellStyle name="標準_Book1" xfId="3"/>
    <cellStyle name="標準_サービス見込量WS(Ver.1.0)" xfId="4"/>
    <cellStyle name="標準_介護円滑導入臨時特例交付金の所要額調作業シート_v2a" xfId="81"/>
    <cellStyle name="標準_第4期第１号被保険者の保険料推計WS（6段階）ver1.0" xfId="87"/>
    <cellStyle name="良い 2" xfId="6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9343725055291"/>
          <c:y val="8.0861397938808727E-2"/>
          <c:w val="0.5189775632884599"/>
          <c:h val="0.7052775330055466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'1_推計値サマリ'!$A$64</c:f>
              <c:strCache>
                <c:ptCount val="1"/>
                <c:pt idx="0">
                  <c:v>（３）施設サービス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'1_推計値サマリ'!$D$61:$I$61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平成31年度</c:v>
                </c:pt>
                <c:pt idx="5">
                  <c:v>平成32年度</c:v>
                </c:pt>
              </c:strCache>
            </c:strRef>
          </c:cat>
          <c:val>
            <c:numRef>
              <c:f>'1_推計値サマリ'!$D$64:$I$64</c:f>
              <c:numCache>
                <c:formatCode>#,##0_ </c:formatCode>
                <c:ptCount val="6"/>
                <c:pt idx="0">
                  <c:v>1082362.334</c:v>
                </c:pt>
                <c:pt idx="1">
                  <c:v>1078652.7220000001</c:v>
                </c:pt>
                <c:pt idx="2">
                  <c:v>1145352.369742797</c:v>
                </c:pt>
                <c:pt idx="3">
                  <c:v>1108753</c:v>
                </c:pt>
                <c:pt idx="4">
                  <c:v>1109250</c:v>
                </c:pt>
                <c:pt idx="5">
                  <c:v>1109251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5-4FEA-B191-B719011A063C}"/>
            </c:ext>
          </c:extLst>
        </c:ser>
        <c:ser>
          <c:idx val="1"/>
          <c:order val="1"/>
          <c:tx>
            <c:strRef>
              <c:f>'1_推計値サマリ'!$A$63</c:f>
              <c:strCache>
                <c:ptCount val="1"/>
                <c:pt idx="0">
                  <c:v>（２）居住系サービス</c:v>
                </c:pt>
              </c:strCache>
            </c:strRef>
          </c:tx>
          <c:spPr>
            <a:pattFill prst="pct2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'1_推計値サマリ'!$D$61:$I$61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平成31年度</c:v>
                </c:pt>
                <c:pt idx="5">
                  <c:v>平成32年度</c:v>
                </c:pt>
              </c:strCache>
            </c:strRef>
          </c:cat>
          <c:val>
            <c:numRef>
              <c:f>'1_推計値サマリ'!$D$63:$I$63</c:f>
              <c:numCache>
                <c:formatCode>#,##0_ </c:formatCode>
                <c:ptCount val="6"/>
                <c:pt idx="0">
                  <c:v>285454.59399999998</c:v>
                </c:pt>
                <c:pt idx="1">
                  <c:v>293889.99099999998</c:v>
                </c:pt>
                <c:pt idx="2">
                  <c:v>309389.80843978829</c:v>
                </c:pt>
                <c:pt idx="3">
                  <c:v>311496</c:v>
                </c:pt>
                <c:pt idx="4">
                  <c:v>311636</c:v>
                </c:pt>
                <c:pt idx="5">
                  <c:v>311636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5-4FEA-B191-B719011A063C}"/>
            </c:ext>
          </c:extLst>
        </c:ser>
        <c:ser>
          <c:idx val="0"/>
          <c:order val="2"/>
          <c:tx>
            <c:strRef>
              <c:f>'1_推計値サマリ'!$A$62</c:f>
              <c:strCache>
                <c:ptCount val="1"/>
                <c:pt idx="0">
                  <c:v>（１）在宅サービス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'1_推計値サマリ'!$D$61:$I$61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平成31年度</c:v>
                </c:pt>
                <c:pt idx="5">
                  <c:v>平成32年度</c:v>
                </c:pt>
              </c:strCache>
            </c:strRef>
          </c:cat>
          <c:val>
            <c:numRef>
              <c:f>'1_推計値サマリ'!$D$62:$I$62</c:f>
              <c:numCache>
                <c:formatCode>#,##0_ </c:formatCode>
                <c:ptCount val="6"/>
                <c:pt idx="0">
                  <c:v>846913.01600000006</c:v>
                </c:pt>
                <c:pt idx="1">
                  <c:v>869728.14454545453</c:v>
                </c:pt>
                <c:pt idx="2">
                  <c:v>891072.12463887455</c:v>
                </c:pt>
                <c:pt idx="3">
                  <c:v>882039</c:v>
                </c:pt>
                <c:pt idx="4">
                  <c:v>882103</c:v>
                </c:pt>
                <c:pt idx="5">
                  <c:v>881393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5-4FEA-B191-B719011A0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200120"/>
        <c:axId val="204200504"/>
      </c:barChart>
      <c:catAx>
        <c:axId val="20420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200000"/>
          <a:lstStyle/>
          <a:p>
            <a:pPr>
              <a:defRPr sz="900" baseline="0"/>
            </a:pPr>
            <a:endParaRPr lang="ja-JP"/>
          </a:p>
        </c:txPr>
        <c:crossAx val="204200504"/>
        <c:crosses val="autoZero"/>
        <c:auto val="1"/>
        <c:lblAlgn val="ctr"/>
        <c:lblOffset val="100"/>
        <c:noMultiLvlLbl val="0"/>
      </c:catAx>
      <c:valAx>
        <c:axId val="204200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給付費（千円）</a:t>
                </a:r>
              </a:p>
            </c:rich>
          </c:tx>
          <c:layout>
            <c:manualLayout>
              <c:xMode val="edge"/>
              <c:yMode val="edge"/>
              <c:x val="9.0411323939015176E-3"/>
              <c:y val="0.20877081992658567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204200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63532410812952"/>
          <c:y val="0.34403368478848995"/>
          <c:w val="0.19035337422694337"/>
          <c:h val="0.323872923317466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3227919307674"/>
          <c:y val="8.1720687428814817E-2"/>
          <c:w val="0.55059820116383562"/>
          <c:h val="0.708729654193732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'1_推計値サマリ'!$A$41:$C$41</c:f>
              <c:strCache>
                <c:ptCount val="3"/>
                <c:pt idx="0">
                  <c:v>（２）居住系サービス</c:v>
                </c:pt>
              </c:strCache>
            </c:strRef>
          </c:tx>
          <c:spPr>
            <a:pattFill prst="pct2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'1_推計値サマリ'!$D$39:$I$39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平成31年度</c:v>
                </c:pt>
                <c:pt idx="5">
                  <c:v>平成32年度</c:v>
                </c:pt>
              </c:strCache>
            </c:strRef>
          </c:cat>
          <c:val>
            <c:numRef>
              <c:f>'1_推計値サマリ'!$D$41:$I$41</c:f>
              <c:numCache>
                <c:formatCode>#,##0_ </c:formatCode>
                <c:ptCount val="6"/>
                <c:pt idx="0">
                  <c:v>1936.8389999999999</c:v>
                </c:pt>
                <c:pt idx="1">
                  <c:v>1315.261</c:v>
                </c:pt>
                <c:pt idx="2">
                  <c:v>82.188000000000002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A-4349-8977-F8F166EFE75E}"/>
            </c:ext>
          </c:extLst>
        </c:ser>
        <c:ser>
          <c:idx val="2"/>
          <c:order val="1"/>
          <c:tx>
            <c:strRef>
              <c:f>'1_推計値サマリ'!$A$40:$C$40</c:f>
              <c:strCache>
                <c:ptCount val="3"/>
                <c:pt idx="0">
                  <c:v>（１）在宅サービス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'1_推計値サマリ'!$D$39:$I$39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平成31年度</c:v>
                </c:pt>
                <c:pt idx="5">
                  <c:v>平成32年度</c:v>
                </c:pt>
              </c:strCache>
            </c:strRef>
          </c:cat>
          <c:val>
            <c:numRef>
              <c:f>'1_推計値サマリ'!$D$40:$I$40</c:f>
              <c:numCache>
                <c:formatCode>#,##0_ </c:formatCode>
                <c:ptCount val="6"/>
                <c:pt idx="0">
                  <c:v>94504.866999999998</c:v>
                </c:pt>
                <c:pt idx="1">
                  <c:v>85396.856090909088</c:v>
                </c:pt>
                <c:pt idx="2">
                  <c:v>80364.255658676004</c:v>
                </c:pt>
                <c:pt idx="3">
                  <c:v>28548</c:v>
                </c:pt>
                <c:pt idx="4">
                  <c:v>28559</c:v>
                </c:pt>
                <c:pt idx="5">
                  <c:v>28559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A-4349-8977-F8F166EFE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259848"/>
        <c:axId val="204260232"/>
      </c:barChart>
      <c:catAx>
        <c:axId val="204259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440000"/>
          <a:lstStyle/>
          <a:p>
            <a:pPr>
              <a:defRPr sz="900" baseline="0"/>
            </a:pPr>
            <a:endParaRPr lang="ja-JP"/>
          </a:p>
        </c:txPr>
        <c:crossAx val="204260232"/>
        <c:crosses val="autoZero"/>
        <c:auto val="1"/>
        <c:lblAlgn val="ctr"/>
        <c:lblOffset val="100"/>
        <c:noMultiLvlLbl val="0"/>
      </c:catAx>
      <c:valAx>
        <c:axId val="204260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給付費（千円）</a:t>
                </a:r>
              </a:p>
            </c:rich>
          </c:tx>
          <c:layout>
            <c:manualLayout>
              <c:xMode val="edge"/>
              <c:yMode val="edge"/>
              <c:x val="2.1458821404776011E-2"/>
              <c:y val="0.2185784388960344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20425984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700539704532456"/>
          <c:y val="0.31804657126988928"/>
          <c:w val="0.1846384330548213"/>
          <c:h val="0.275738344931229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第</a:t>
            </a:r>
            <a:r>
              <a:rPr lang="en-US" altLang="ja-JP" sz="1200"/>
              <a:t>1</a:t>
            </a:r>
            <a:r>
              <a:rPr lang="ja-JP" altLang="en-US" sz="1200"/>
              <a:t>号被保険者</a:t>
            </a:r>
            <a:r>
              <a:rPr lang="en-US" altLang="ja-JP" sz="1200"/>
              <a:t>1</a:t>
            </a:r>
            <a:r>
              <a:rPr lang="ja-JP" altLang="en-US" sz="1200"/>
              <a:t>人あたりの給付月額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'1_推計値サマリ'!$F$90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1.5436754160078829E-2"/>
                  <c:y val="5.555555555555546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7E-4221-8EC4-708DE3E28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'1_推計値サマリ'!$F$92</c:f>
              <c:numCache>
                <c:formatCode>#,##0_ </c:formatCode>
                <c:ptCount val="1"/>
                <c:pt idx="0">
                  <c:v>162.23121384458881</c:v>
                </c:pt>
              </c:numCache>
            </c:numRef>
          </c:xVal>
          <c:yVal>
            <c:numRef>
              <c:f>'1_推計値サマリ'!$F$91</c:f>
              <c:numCache>
                <c:formatCode>#,##0_ </c:formatCode>
                <c:ptCount val="1"/>
                <c:pt idx="0">
                  <c:v>137.59722100531877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7E-4221-8EC4-708DE3E28E11}"/>
            </c:ext>
          </c:extLst>
        </c:ser>
        <c:ser>
          <c:idx val="1"/>
          <c:order val="1"/>
          <c:tx>
            <c:strRef>
              <c:f>'1_推計値サマリ'!$G$90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776900655209207"/>
                  <c:y val="-6.944444444444450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7E-4221-8EC4-708DE3E28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'1_推計値サマリ'!$G$92</c:f>
              <c:numCache>
                <c:formatCode>#,##0_ </c:formatCode>
                <c:ptCount val="1"/>
                <c:pt idx="0">
                  <c:v>158.28022840827981</c:v>
                </c:pt>
              </c:numCache>
            </c:numRef>
          </c:xVal>
          <c:yVal>
            <c:numRef>
              <c:f>'1_推計値サマリ'!$G$91</c:f>
              <c:numCache>
                <c:formatCode>#,##0_ </c:formatCode>
                <c:ptCount val="1"/>
                <c:pt idx="0">
                  <c:v>129.99100642398287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7E-4221-8EC4-708DE3E28E11}"/>
            </c:ext>
          </c:extLst>
        </c:ser>
        <c:ser>
          <c:idx val="2"/>
          <c:order val="2"/>
          <c:tx>
            <c:strRef>
              <c:f>'1_推計値サマリ'!$H$90</c:f>
              <c:strCache>
                <c:ptCount val="1"/>
                <c:pt idx="0">
                  <c:v>平成31年度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6.3888965855229823E-2"/>
                  <c:y val="-5.555555555555546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7E-4221-8EC4-708DE3E28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'1_推計値サマリ'!$H$92</c:f>
              <c:numCache>
                <c:formatCode>#,##0_ </c:formatCode>
                <c:ptCount val="1"/>
                <c:pt idx="0">
                  <c:v>159.60431654676259</c:v>
                </c:pt>
              </c:numCache>
            </c:numRef>
          </c:xVal>
          <c:yVal>
            <c:numRef>
              <c:f>'1_推計値サマリ'!$H$91</c:f>
              <c:numCache>
                <c:formatCode>#,##0_ </c:formatCode>
                <c:ptCount val="1"/>
                <c:pt idx="0">
                  <c:v>131.0305035971223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7E-4221-8EC4-708DE3E28E11}"/>
            </c:ext>
          </c:extLst>
        </c:ser>
        <c:ser>
          <c:idx val="3"/>
          <c:order val="3"/>
          <c:tx>
            <c:strRef>
              <c:f>'1_推計値サマリ'!$I$90</c:f>
              <c:strCache>
                <c:ptCount val="1"/>
                <c:pt idx="0">
                  <c:v>平成32年度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9.7222414638074434E-2"/>
                  <c:y val="-6.48148148148149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7E-4221-8EC4-708DE3E28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'1_推計値サマリ'!$I$92</c:f>
              <c:numCache>
                <c:formatCode>#,##0_ </c:formatCode>
                <c:ptCount val="1"/>
                <c:pt idx="0">
                  <c:v>160.87759245830313</c:v>
                </c:pt>
              </c:numCache>
            </c:numRef>
          </c:xVal>
          <c:yVal>
            <c:numRef>
              <c:f>'1_推計値サマリ'!$I$91</c:f>
              <c:numCache>
                <c:formatCode>#,##0_ </c:formatCode>
                <c:ptCount val="1"/>
                <c:pt idx="0">
                  <c:v>131.97273386511966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7E-4221-8EC4-708DE3E28E11}"/>
            </c:ext>
          </c:extLst>
        </c:ser>
        <c:ser>
          <c:idx val="4"/>
          <c:order val="4"/>
          <c:tx>
            <c:strRef>
              <c:f>'1_推計値サマリ'!$D$90</c:f>
              <c:strCache>
                <c:ptCount val="1"/>
                <c:pt idx="0">
                  <c:v>平成27年度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0.13172890261198747"/>
                  <c:y val="5.787037037037040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7E-4221-8EC4-708DE3E28E11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'1_推計値サマリ'!$D$92</c:f>
              <c:numCache>
                <c:formatCode>#,##0_ </c:formatCode>
                <c:ptCount val="1"/>
                <c:pt idx="0">
                  <c:v>151.99583401207695</c:v>
                </c:pt>
              </c:numCache>
            </c:numRef>
          </c:xVal>
          <c:yVal>
            <c:numRef>
              <c:f>'1_推計値サマリ'!$D$91</c:f>
              <c:numCache>
                <c:formatCode>#,##0_ </c:formatCode>
                <c:ptCount val="1"/>
                <c:pt idx="0">
                  <c:v>132.20304493750879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07E-4221-8EC4-708DE3E28E11}"/>
            </c:ext>
          </c:extLst>
        </c:ser>
        <c:ser>
          <c:idx val="5"/>
          <c:order val="5"/>
          <c:tx>
            <c:strRef>
              <c:f>'1_推計値サマリ'!$E$90</c:f>
              <c:strCache>
                <c:ptCount val="1"/>
                <c:pt idx="0">
                  <c:v>平成28年度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9.5037821259912225E-2"/>
                  <c:y val="5.787037037037037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7E-4221-8EC4-708DE3E28E11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'1_推計値サマリ'!$E$92</c:f>
              <c:numCache>
                <c:formatCode>#,##0_ </c:formatCode>
                <c:ptCount val="1"/>
                <c:pt idx="0">
                  <c:v>151.60263134223473</c:v>
                </c:pt>
              </c:numCache>
            </c:numRef>
          </c:xVal>
          <c:yVal>
            <c:numRef>
              <c:f>'1_推計値サマリ'!$E$91</c:f>
              <c:numCache>
                <c:formatCode>#,##0_ </c:formatCode>
                <c:ptCount val="1"/>
                <c:pt idx="0">
                  <c:v>134.24104014565899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07E-4221-8EC4-708DE3E2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562376"/>
        <c:axId val="204563784"/>
      </c:scatterChart>
      <c:valAx>
        <c:axId val="2045623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施設サービス給付月額（千円）</a:t>
                </a:r>
              </a:p>
            </c:rich>
          </c:tx>
          <c:overlay val="0"/>
        </c:title>
        <c:numFmt formatCode="#,##0_ " sourceLinked="1"/>
        <c:majorTickMark val="none"/>
        <c:minorTickMark val="none"/>
        <c:tickLblPos val="nextTo"/>
        <c:crossAx val="204563784"/>
        <c:crosses val="autoZero"/>
        <c:crossBetween val="midCat"/>
      </c:valAx>
      <c:valAx>
        <c:axId val="2045637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在宅サービス給付月額（千円）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0.14679425488480669"/>
            </c:manualLayout>
          </c:layout>
          <c:overlay val="0"/>
        </c:title>
        <c:numFmt formatCode="#,##0_ " sourceLinked="1"/>
        <c:majorTickMark val="none"/>
        <c:minorTickMark val="none"/>
        <c:tickLblPos val="nextTo"/>
        <c:crossAx val="204562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979487</xdr:colOff>
      <xdr:row>66</xdr:row>
      <xdr:rowOff>63499</xdr:rowOff>
    </xdr:from>
    <xdr:to>
      <xdr:col>9</xdr:col>
      <xdr:colOff>227300</xdr:colOff>
      <xdr:row>79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980462</xdr:colOff>
      <xdr:row>43</xdr:row>
      <xdr:rowOff>63499</xdr:rowOff>
    </xdr:from>
    <xdr:to>
      <xdr:col>9</xdr:col>
      <xdr:colOff>226218</xdr:colOff>
      <xdr:row>57</xdr:row>
      <xdr:rowOff>130969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1416844</xdr:colOff>
      <xdr:row>93</xdr:row>
      <xdr:rowOff>19852</xdr:rowOff>
    </xdr:from>
    <xdr:to>
      <xdr:col>6</xdr:col>
      <xdr:colOff>488156</xdr:colOff>
      <xdr:row>109</xdr:row>
      <xdr:rowOff>96052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34"/>
  <sheetViews>
    <sheetView showGridLines="0" view="pageBreakPreview" topLeftCell="C1" zoomScaleNormal="100" zoomScaleSheetLayoutView="100" workbookViewId="0">
      <selection activeCell="K6" sqref="K6"/>
    </sheetView>
  </sheetViews>
  <sheetFormatPr defaultRowHeight="13.5"/>
  <cols>
    <col min="2" max="2" width="28.5" customWidth="1"/>
    <col min="3" max="8" width="11.125" customWidth="1"/>
    <col min="9" max="11" width="11.125" style="135" customWidth="1"/>
    <col min="12" max="14" width="11.125" customWidth="1"/>
  </cols>
  <sheetData>
    <row r="1" spans="1:16" s="135" customFormat="1" ht="54.75" customHeight="1">
      <c r="A1" s="761" t="s">
        <v>289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</row>
    <row r="2" spans="1:16" ht="15" thickBot="1">
      <c r="A2" s="46"/>
      <c r="H2" s="135"/>
      <c r="K2" s="116" t="s">
        <v>108</v>
      </c>
      <c r="L2" s="228" t="s">
        <v>307</v>
      </c>
    </row>
    <row r="3" spans="1:16" ht="14.25" thickBot="1">
      <c r="H3" s="135"/>
      <c r="I3" s="774" t="s">
        <v>74</v>
      </c>
      <c r="J3" s="775"/>
      <c r="K3" s="766" t="s">
        <v>308</v>
      </c>
      <c r="L3" s="767"/>
    </row>
    <row r="4" spans="1:16" ht="14.25" thickBot="1">
      <c r="H4" s="135"/>
      <c r="I4" s="774" t="s">
        <v>75</v>
      </c>
      <c r="J4" s="775"/>
      <c r="K4" s="768" t="s">
        <v>309</v>
      </c>
      <c r="L4" s="769"/>
    </row>
    <row r="5" spans="1:16" s="135" customFormat="1" ht="31.5" customHeight="1" thickBot="1">
      <c r="I5" s="772" t="s">
        <v>109</v>
      </c>
      <c r="J5" s="773"/>
      <c r="K5" s="770" t="s">
        <v>310</v>
      </c>
      <c r="L5" s="771"/>
    </row>
    <row r="6" spans="1:16" ht="14.25">
      <c r="A6" s="46" t="s">
        <v>79</v>
      </c>
    </row>
    <row r="7" spans="1:16" s="135" customFormat="1" ht="14.25">
      <c r="A7" s="46"/>
    </row>
    <row r="8" spans="1:16">
      <c r="A8" s="1" t="s">
        <v>0</v>
      </c>
      <c r="B8" s="2"/>
      <c r="C8" s="3"/>
      <c r="D8" s="3"/>
      <c r="E8" s="3"/>
      <c r="F8" s="3"/>
      <c r="G8" s="3"/>
      <c r="H8" s="3"/>
      <c r="I8" s="50"/>
      <c r="J8" s="50"/>
      <c r="K8" s="50"/>
      <c r="L8" s="3"/>
    </row>
    <row r="9" spans="1:16" ht="14.25" thickBot="1">
      <c r="A9" s="4"/>
      <c r="B9" s="5"/>
      <c r="C9" s="6"/>
      <c r="D9" s="6"/>
      <c r="E9" s="6"/>
      <c r="F9" s="6"/>
      <c r="G9" s="6"/>
      <c r="H9" s="6"/>
      <c r="L9" s="7" t="s">
        <v>1</v>
      </c>
      <c r="N9" s="7"/>
    </row>
    <row r="10" spans="1:16" ht="30" customHeight="1" thickBot="1">
      <c r="A10" s="763"/>
      <c r="B10" s="764"/>
      <c r="C10" s="765"/>
      <c r="D10" s="147" t="s">
        <v>105</v>
      </c>
      <c r="E10" s="132" t="s">
        <v>106</v>
      </c>
      <c r="F10" s="156" t="s">
        <v>2</v>
      </c>
      <c r="G10" s="8" t="s">
        <v>72</v>
      </c>
      <c r="H10" s="9" t="s">
        <v>73</v>
      </c>
      <c r="I10" s="109" t="s">
        <v>3</v>
      </c>
      <c r="J10" s="190" t="s">
        <v>110</v>
      </c>
      <c r="K10" s="107" t="s">
        <v>107</v>
      </c>
      <c r="L10" s="191" t="s">
        <v>111</v>
      </c>
    </row>
    <row r="11" spans="1:16">
      <c r="A11" s="10" t="s">
        <v>4</v>
      </c>
      <c r="B11" s="11"/>
      <c r="C11" s="12"/>
      <c r="D11" s="214">
        <f t="shared" ref="D11:I11" si="0">SUM(D12:D13)</f>
        <v>11726</v>
      </c>
      <c r="E11" s="215">
        <f t="shared" si="0"/>
        <v>11540</v>
      </c>
      <c r="F11" s="216">
        <f t="shared" si="0"/>
        <v>11323</v>
      </c>
      <c r="G11" s="217">
        <f t="shared" si="0"/>
        <v>11106</v>
      </c>
      <c r="H11" s="218">
        <f t="shared" si="0"/>
        <v>10889</v>
      </c>
      <c r="I11" s="206">
        <f t="shared" si="0"/>
        <v>10672</v>
      </c>
      <c r="J11" s="338">
        <f>IFERROR((SUM(G11:I11)/3)/F11,"－")</f>
        <v>0.96167093526450587</v>
      </c>
      <c r="K11" s="196">
        <f>SUM(K12:K13)</f>
        <v>9479</v>
      </c>
      <c r="L11" s="340">
        <f>IFERROR(K11/F11,"－")</f>
        <v>0.83714563278283138</v>
      </c>
      <c r="P11" s="135"/>
    </row>
    <row r="12" spans="1:16">
      <c r="A12" s="13"/>
      <c r="B12" s="14" t="s">
        <v>5</v>
      </c>
      <c r="C12" s="15"/>
      <c r="D12" s="213">
        <v>7121</v>
      </c>
      <c r="E12" s="208">
        <v>7115</v>
      </c>
      <c r="F12" s="209">
        <v>7060</v>
      </c>
      <c r="G12" s="210">
        <v>7005</v>
      </c>
      <c r="H12" s="211">
        <v>6950</v>
      </c>
      <c r="I12" s="212">
        <v>6895</v>
      </c>
      <c r="J12" s="338">
        <f>IFERROR((SUM(G12:I12)/3)/F12,"－")</f>
        <v>0.98441926345609065</v>
      </c>
      <c r="K12" s="219">
        <v>6293</v>
      </c>
      <c r="L12" s="340">
        <f>IFERROR(K12/F12,"－")</f>
        <v>0.89135977337110484</v>
      </c>
      <c r="N12" s="135"/>
      <c r="P12" s="135"/>
    </row>
    <row r="13" spans="1:16" ht="14.25" thickBot="1">
      <c r="A13" s="13"/>
      <c r="B13" s="220" t="s">
        <v>6</v>
      </c>
      <c r="C13" s="15"/>
      <c r="D13" s="213">
        <v>4605</v>
      </c>
      <c r="E13" s="208">
        <v>4425</v>
      </c>
      <c r="F13" s="209">
        <v>4263</v>
      </c>
      <c r="G13" s="221">
        <v>4101</v>
      </c>
      <c r="H13" s="208">
        <v>3939</v>
      </c>
      <c r="I13" s="222">
        <v>3777</v>
      </c>
      <c r="J13" s="339">
        <f>IFERROR((SUM(G13:I13)/3)/F13,"－")</f>
        <v>0.92399718508092887</v>
      </c>
      <c r="K13" s="205">
        <v>3186</v>
      </c>
      <c r="L13" s="341">
        <f>IFERROR(K13/F13,"－")</f>
        <v>0.74736101337086558</v>
      </c>
      <c r="N13" s="135"/>
      <c r="P13" s="135"/>
    </row>
    <row r="14" spans="1:16">
      <c r="A14" s="223"/>
      <c r="B14" s="224"/>
      <c r="C14" s="223"/>
      <c r="D14" s="223"/>
      <c r="E14" s="223"/>
      <c r="F14" s="223"/>
      <c r="G14" s="313" t="s">
        <v>117</v>
      </c>
      <c r="H14" s="223"/>
      <c r="I14" s="223"/>
      <c r="J14" s="223"/>
      <c r="K14" s="760" t="s">
        <v>118</v>
      </c>
      <c r="L14" s="760"/>
      <c r="M14" s="760"/>
    </row>
    <row r="15" spans="1:16" s="135" customFormat="1">
      <c r="A15" s="137"/>
      <c r="B15" s="45"/>
      <c r="C15" s="137"/>
      <c r="D15" s="137"/>
      <c r="E15" s="137"/>
      <c r="F15" s="137"/>
      <c r="G15" s="115"/>
      <c r="H15" s="115"/>
      <c r="I15" s="115"/>
      <c r="J15" s="115"/>
      <c r="K15" s="760"/>
      <c r="L15" s="760"/>
      <c r="M15" s="760"/>
    </row>
    <row r="16" spans="1:16">
      <c r="A16" s="1" t="s">
        <v>7</v>
      </c>
      <c r="B16" s="2"/>
      <c r="C16" s="3"/>
      <c r="D16" s="3"/>
      <c r="E16" s="3"/>
      <c r="F16" s="3"/>
      <c r="G16" s="3"/>
      <c r="H16" s="3"/>
      <c r="I16" s="50"/>
      <c r="J16" s="50"/>
      <c r="K16"/>
    </row>
    <row r="17" spans="1:16" ht="14.25" thickBot="1">
      <c r="A17" s="3"/>
      <c r="B17" s="2"/>
      <c r="C17" s="3"/>
      <c r="D17" s="3"/>
      <c r="E17" s="3"/>
      <c r="F17" s="3"/>
      <c r="G17" s="3"/>
      <c r="H17" s="3"/>
      <c r="K17"/>
      <c r="L17" s="7" t="s">
        <v>1</v>
      </c>
    </row>
    <row r="18" spans="1:16" ht="23.25" thickBot="1">
      <c r="A18" s="763"/>
      <c r="B18" s="764"/>
      <c r="C18" s="765"/>
      <c r="D18" s="147" t="s">
        <v>105</v>
      </c>
      <c r="E18" s="109" t="s">
        <v>106</v>
      </c>
      <c r="F18" s="109" t="s">
        <v>2</v>
      </c>
      <c r="G18" s="107" t="s">
        <v>72</v>
      </c>
      <c r="H18" s="108" t="s">
        <v>73</v>
      </c>
      <c r="I18" s="109" t="s">
        <v>3</v>
      </c>
      <c r="J18" s="190" t="s">
        <v>110</v>
      </c>
      <c r="K18" s="107" t="s">
        <v>107</v>
      </c>
      <c r="L18" s="191" t="s">
        <v>111</v>
      </c>
    </row>
    <row r="19" spans="1:16">
      <c r="A19" s="40" t="s">
        <v>8</v>
      </c>
      <c r="B19" s="43"/>
      <c r="C19" s="12"/>
      <c r="D19" s="217">
        <f>SUM(D20:D26)</f>
        <v>1322</v>
      </c>
      <c r="E19" s="218">
        <f t="shared" ref="E19:I19" si="1">SUM(E20:E26)</f>
        <v>1350</v>
      </c>
      <c r="F19" s="206">
        <f t="shared" si="1"/>
        <v>1269</v>
      </c>
      <c r="G19" s="217">
        <f t="shared" si="1"/>
        <v>1235</v>
      </c>
      <c r="H19" s="218">
        <f t="shared" si="1"/>
        <v>1225</v>
      </c>
      <c r="I19" s="206">
        <f t="shared" si="1"/>
        <v>1215</v>
      </c>
      <c r="J19" s="338">
        <f t="shared" ref="J19:J34" si="2">IFERROR((SUM(G19:I19)/3)/F19,"－")</f>
        <v>0.96532702915681634</v>
      </c>
      <c r="K19" s="217">
        <f t="shared" ref="K19" si="3">SUM(K20:K26)</f>
        <v>1200</v>
      </c>
      <c r="L19" s="340">
        <f t="shared" ref="L19:L34" si="4">IFERROR(K19/F19,"－")</f>
        <v>0.94562647754137119</v>
      </c>
      <c r="N19" s="135"/>
      <c r="P19" s="135"/>
    </row>
    <row r="20" spans="1:16">
      <c r="A20" s="10"/>
      <c r="B20" s="16"/>
      <c r="C20" s="17" t="s">
        <v>9</v>
      </c>
      <c r="D20" s="197">
        <v>132</v>
      </c>
      <c r="E20" s="198">
        <v>127</v>
      </c>
      <c r="F20" s="199">
        <v>111</v>
      </c>
      <c r="G20" s="197">
        <v>95</v>
      </c>
      <c r="H20" s="198">
        <v>85</v>
      </c>
      <c r="I20" s="199">
        <v>75</v>
      </c>
      <c r="J20" s="345">
        <f t="shared" si="2"/>
        <v>0.76576576576576572</v>
      </c>
      <c r="K20" s="204">
        <v>59</v>
      </c>
      <c r="L20" s="342">
        <f t="shared" si="4"/>
        <v>0.53153153153153154</v>
      </c>
      <c r="N20" s="135"/>
      <c r="P20" s="135"/>
    </row>
    <row r="21" spans="1:16">
      <c r="A21" s="10"/>
      <c r="B21" s="16"/>
      <c r="C21" s="17" t="s">
        <v>10</v>
      </c>
      <c r="D21" s="197">
        <v>141</v>
      </c>
      <c r="E21" s="200">
        <v>153</v>
      </c>
      <c r="F21" s="199">
        <v>122</v>
      </c>
      <c r="G21" s="197">
        <v>120</v>
      </c>
      <c r="H21" s="200">
        <v>115</v>
      </c>
      <c r="I21" s="199">
        <v>110</v>
      </c>
      <c r="J21" s="345">
        <f t="shared" si="2"/>
        <v>0.94262295081967218</v>
      </c>
      <c r="K21" s="204">
        <v>100</v>
      </c>
      <c r="L21" s="342">
        <f t="shared" si="4"/>
        <v>0.81967213114754101</v>
      </c>
      <c r="N21" s="135"/>
      <c r="P21" s="135"/>
    </row>
    <row r="22" spans="1:16">
      <c r="A22" s="10"/>
      <c r="B22" s="16"/>
      <c r="C22" s="17" t="s">
        <v>11</v>
      </c>
      <c r="D22" s="197">
        <v>264</v>
      </c>
      <c r="E22" s="200">
        <v>271</v>
      </c>
      <c r="F22" s="199">
        <v>207</v>
      </c>
      <c r="G22" s="197">
        <v>205</v>
      </c>
      <c r="H22" s="200">
        <v>200</v>
      </c>
      <c r="I22" s="199">
        <v>195</v>
      </c>
      <c r="J22" s="345">
        <f t="shared" si="2"/>
        <v>0.96618357487922701</v>
      </c>
      <c r="K22" s="204">
        <v>198</v>
      </c>
      <c r="L22" s="342">
        <f t="shared" si="4"/>
        <v>0.95652173913043481</v>
      </c>
      <c r="N22" s="135"/>
      <c r="P22" s="135"/>
    </row>
    <row r="23" spans="1:16">
      <c r="A23" s="10"/>
      <c r="B23" s="16"/>
      <c r="C23" s="17" t="s">
        <v>12</v>
      </c>
      <c r="D23" s="197">
        <v>237</v>
      </c>
      <c r="E23" s="200">
        <v>243</v>
      </c>
      <c r="F23" s="199">
        <v>257</v>
      </c>
      <c r="G23" s="197">
        <v>230</v>
      </c>
      <c r="H23" s="200">
        <v>225</v>
      </c>
      <c r="I23" s="199">
        <v>220</v>
      </c>
      <c r="J23" s="345">
        <f t="shared" si="2"/>
        <v>0.8754863813229572</v>
      </c>
      <c r="K23" s="204">
        <v>243</v>
      </c>
      <c r="L23" s="342">
        <f t="shared" si="4"/>
        <v>0.94552529182879375</v>
      </c>
      <c r="N23" s="135"/>
      <c r="P23" s="135"/>
    </row>
    <row r="24" spans="1:16">
      <c r="A24" s="10"/>
      <c r="B24" s="16"/>
      <c r="C24" s="17" t="s">
        <v>13</v>
      </c>
      <c r="D24" s="197">
        <v>185</v>
      </c>
      <c r="E24" s="200">
        <v>189</v>
      </c>
      <c r="F24" s="199">
        <v>211</v>
      </c>
      <c r="G24" s="197">
        <v>210</v>
      </c>
      <c r="H24" s="200">
        <v>215</v>
      </c>
      <c r="I24" s="199">
        <v>220</v>
      </c>
      <c r="J24" s="345">
        <f t="shared" si="2"/>
        <v>1.018957345971564</v>
      </c>
      <c r="K24" s="204">
        <v>209</v>
      </c>
      <c r="L24" s="342">
        <f t="shared" si="4"/>
        <v>0.99052132701421802</v>
      </c>
      <c r="N24" s="135"/>
      <c r="P24" s="135"/>
    </row>
    <row r="25" spans="1:16">
      <c r="A25" s="10"/>
      <c r="B25" s="16"/>
      <c r="C25" s="17" t="s">
        <v>14</v>
      </c>
      <c r="D25" s="197">
        <v>213</v>
      </c>
      <c r="E25" s="200">
        <v>200</v>
      </c>
      <c r="F25" s="199">
        <v>201</v>
      </c>
      <c r="G25" s="197">
        <v>205</v>
      </c>
      <c r="H25" s="200">
        <v>210</v>
      </c>
      <c r="I25" s="199">
        <v>215</v>
      </c>
      <c r="J25" s="345">
        <f t="shared" si="2"/>
        <v>1.044776119402985</v>
      </c>
      <c r="K25" s="204">
        <v>218</v>
      </c>
      <c r="L25" s="342">
        <f t="shared" si="4"/>
        <v>1.0845771144278606</v>
      </c>
      <c r="N25" s="135"/>
      <c r="P25" s="135"/>
    </row>
    <row r="26" spans="1:16">
      <c r="A26" s="18"/>
      <c r="B26" s="19"/>
      <c r="C26" s="17" t="s">
        <v>15</v>
      </c>
      <c r="D26" s="197">
        <v>150</v>
      </c>
      <c r="E26" s="200">
        <v>167</v>
      </c>
      <c r="F26" s="199">
        <v>160</v>
      </c>
      <c r="G26" s="197">
        <v>170</v>
      </c>
      <c r="H26" s="200">
        <v>175</v>
      </c>
      <c r="I26" s="199">
        <v>180</v>
      </c>
      <c r="J26" s="345">
        <f t="shared" si="2"/>
        <v>1.09375</v>
      </c>
      <c r="K26" s="204">
        <v>173</v>
      </c>
      <c r="L26" s="342">
        <f t="shared" si="4"/>
        <v>1.08125</v>
      </c>
      <c r="N26" s="135"/>
      <c r="P26" s="135"/>
    </row>
    <row r="27" spans="1:16">
      <c r="A27" s="20"/>
      <c r="B27" s="21" t="s">
        <v>16</v>
      </c>
      <c r="C27" s="22"/>
      <c r="D27" s="225">
        <f t="shared" ref="D27:K27" si="5">SUM(D28:D34)</f>
        <v>1300</v>
      </c>
      <c r="E27" s="226">
        <f t="shared" si="5"/>
        <v>1334</v>
      </c>
      <c r="F27" s="207">
        <f t="shared" si="5"/>
        <v>1251</v>
      </c>
      <c r="G27" s="225">
        <f t="shared" si="5"/>
        <v>1218</v>
      </c>
      <c r="H27" s="226">
        <f t="shared" si="5"/>
        <v>1205</v>
      </c>
      <c r="I27" s="207">
        <f t="shared" si="5"/>
        <v>1193</v>
      </c>
      <c r="J27" s="346">
        <f t="shared" si="2"/>
        <v>0.96349586997069003</v>
      </c>
      <c r="K27" s="227">
        <f t="shared" si="5"/>
        <v>1180</v>
      </c>
      <c r="L27" s="343">
        <f t="shared" si="4"/>
        <v>0.94324540367705834</v>
      </c>
      <c r="N27" s="135"/>
      <c r="P27" s="135"/>
    </row>
    <row r="28" spans="1:16">
      <c r="A28" s="13"/>
      <c r="B28" s="23"/>
      <c r="C28" s="17" t="s">
        <v>9</v>
      </c>
      <c r="D28" s="197">
        <v>131</v>
      </c>
      <c r="E28" s="198">
        <v>126</v>
      </c>
      <c r="F28" s="199">
        <v>110</v>
      </c>
      <c r="G28" s="197">
        <v>95</v>
      </c>
      <c r="H28" s="198">
        <v>85</v>
      </c>
      <c r="I28" s="199">
        <v>75</v>
      </c>
      <c r="J28" s="345">
        <f t="shared" si="2"/>
        <v>0.77272727272727271</v>
      </c>
      <c r="K28" s="204">
        <v>59</v>
      </c>
      <c r="L28" s="342">
        <f t="shared" si="4"/>
        <v>0.53636363636363638</v>
      </c>
      <c r="N28" s="135"/>
      <c r="P28" s="135"/>
    </row>
    <row r="29" spans="1:16">
      <c r="A29" s="13"/>
      <c r="B29" s="23"/>
      <c r="C29" s="17" t="s">
        <v>10</v>
      </c>
      <c r="D29" s="197">
        <v>138</v>
      </c>
      <c r="E29" s="200">
        <v>151</v>
      </c>
      <c r="F29" s="199">
        <v>119</v>
      </c>
      <c r="G29" s="197">
        <v>118</v>
      </c>
      <c r="H29" s="200">
        <v>113</v>
      </c>
      <c r="I29" s="199">
        <v>108</v>
      </c>
      <c r="J29" s="345">
        <f t="shared" si="2"/>
        <v>0.94957983193277307</v>
      </c>
      <c r="K29" s="204">
        <v>98</v>
      </c>
      <c r="L29" s="342">
        <f t="shared" si="4"/>
        <v>0.82352941176470584</v>
      </c>
      <c r="N29" s="135"/>
      <c r="P29" s="135"/>
    </row>
    <row r="30" spans="1:16">
      <c r="A30" s="20"/>
      <c r="B30" s="24"/>
      <c r="C30" s="17" t="s">
        <v>11</v>
      </c>
      <c r="D30" s="197">
        <v>261</v>
      </c>
      <c r="E30" s="200">
        <v>269</v>
      </c>
      <c r="F30" s="199">
        <v>205</v>
      </c>
      <c r="G30" s="197">
        <v>203</v>
      </c>
      <c r="H30" s="200">
        <v>198</v>
      </c>
      <c r="I30" s="199">
        <v>193</v>
      </c>
      <c r="J30" s="345">
        <f t="shared" si="2"/>
        <v>0.96585365853658534</v>
      </c>
      <c r="K30" s="204">
        <v>196</v>
      </c>
      <c r="L30" s="342">
        <f t="shared" si="4"/>
        <v>0.95609756097560972</v>
      </c>
      <c r="N30" s="135"/>
      <c r="P30" s="135"/>
    </row>
    <row r="31" spans="1:16">
      <c r="A31" s="20"/>
      <c r="B31" s="24"/>
      <c r="C31" s="17" t="s">
        <v>12</v>
      </c>
      <c r="D31" s="197">
        <v>232</v>
      </c>
      <c r="E31" s="200">
        <v>239</v>
      </c>
      <c r="F31" s="199">
        <v>253</v>
      </c>
      <c r="G31" s="197">
        <v>224</v>
      </c>
      <c r="H31" s="200">
        <v>218</v>
      </c>
      <c r="I31" s="199">
        <v>213</v>
      </c>
      <c r="J31" s="345">
        <f t="shared" si="2"/>
        <v>0.86297760210803698</v>
      </c>
      <c r="K31" s="204">
        <v>236</v>
      </c>
      <c r="L31" s="342">
        <f t="shared" si="4"/>
        <v>0.93280632411067199</v>
      </c>
      <c r="N31" s="135"/>
      <c r="P31" s="135"/>
    </row>
    <row r="32" spans="1:16">
      <c r="A32" s="20"/>
      <c r="B32" s="24"/>
      <c r="C32" s="17" t="s">
        <v>13</v>
      </c>
      <c r="D32" s="197">
        <v>182</v>
      </c>
      <c r="E32" s="200">
        <v>186</v>
      </c>
      <c r="F32" s="199">
        <v>209</v>
      </c>
      <c r="G32" s="197">
        <v>209</v>
      </c>
      <c r="H32" s="200">
        <v>214</v>
      </c>
      <c r="I32" s="199">
        <v>219</v>
      </c>
      <c r="J32" s="345">
        <f t="shared" si="2"/>
        <v>1.0239234449760766</v>
      </c>
      <c r="K32" s="204">
        <v>208</v>
      </c>
      <c r="L32" s="342">
        <f t="shared" si="4"/>
        <v>0.99521531100478466</v>
      </c>
      <c r="N32" s="135"/>
      <c r="P32" s="135"/>
    </row>
    <row r="33" spans="1:16">
      <c r="A33" s="20"/>
      <c r="B33" s="24"/>
      <c r="C33" s="17" t="s">
        <v>14</v>
      </c>
      <c r="D33" s="197">
        <v>210</v>
      </c>
      <c r="E33" s="200">
        <v>198</v>
      </c>
      <c r="F33" s="199">
        <v>197</v>
      </c>
      <c r="G33" s="197">
        <v>201</v>
      </c>
      <c r="H33" s="200">
        <v>205</v>
      </c>
      <c r="I33" s="199">
        <v>209</v>
      </c>
      <c r="J33" s="345">
        <f t="shared" si="2"/>
        <v>1.0406091370558375</v>
      </c>
      <c r="K33" s="204">
        <v>213</v>
      </c>
      <c r="L33" s="342">
        <f t="shared" si="4"/>
        <v>1.0812182741116751</v>
      </c>
      <c r="N33" s="135"/>
      <c r="P33" s="135"/>
    </row>
    <row r="34" spans="1:16" ht="14.25" thickBot="1">
      <c r="A34" s="25"/>
      <c r="B34" s="26"/>
      <c r="C34" s="27" t="s">
        <v>15</v>
      </c>
      <c r="D34" s="201">
        <v>146</v>
      </c>
      <c r="E34" s="202">
        <v>165</v>
      </c>
      <c r="F34" s="203">
        <v>158</v>
      </c>
      <c r="G34" s="201">
        <v>168</v>
      </c>
      <c r="H34" s="202">
        <v>172</v>
      </c>
      <c r="I34" s="203">
        <v>176</v>
      </c>
      <c r="J34" s="347">
        <f t="shared" si="2"/>
        <v>1.0886075949367089</v>
      </c>
      <c r="K34" s="205">
        <v>170</v>
      </c>
      <c r="L34" s="344">
        <f t="shared" si="4"/>
        <v>1.0759493670886076</v>
      </c>
      <c r="N34" s="135"/>
      <c r="P34" s="135"/>
    </row>
    <row r="35" spans="1:16" s="47" customFormat="1" ht="13.5" customHeight="1">
      <c r="A35" s="48"/>
      <c r="B35" s="45"/>
      <c r="C35" s="99"/>
      <c r="D35" s="100"/>
      <c r="E35" s="100"/>
      <c r="F35" s="101"/>
      <c r="G35" s="313" t="s">
        <v>117</v>
      </c>
      <c r="H35" s="223"/>
      <c r="I35" s="223"/>
      <c r="J35" s="223"/>
      <c r="K35" s="760" t="s">
        <v>118</v>
      </c>
      <c r="L35" s="760"/>
      <c r="M35" s="760"/>
    </row>
    <row r="36" spans="1:16">
      <c r="A36" s="3"/>
      <c r="B36" s="2"/>
      <c r="C36" s="3"/>
      <c r="D36" s="3"/>
      <c r="E36" s="3"/>
      <c r="F36" s="3"/>
      <c r="G36" s="115"/>
      <c r="H36" s="115"/>
      <c r="I36" s="115"/>
      <c r="J36" s="115"/>
      <c r="K36" s="760"/>
      <c r="L36" s="760"/>
      <c r="M36" s="760"/>
    </row>
    <row r="37" spans="1:16">
      <c r="A37" s="1" t="s">
        <v>17</v>
      </c>
      <c r="B37" s="2"/>
      <c r="C37" s="3"/>
      <c r="D37" s="3"/>
      <c r="E37" s="3"/>
      <c r="F37" s="3"/>
      <c r="G37" s="3"/>
      <c r="H37" s="3"/>
      <c r="I37" s="50"/>
      <c r="J37" s="50"/>
      <c r="K37"/>
    </row>
    <row r="38" spans="1:16" ht="14.25" thickBot="1">
      <c r="A38" s="3"/>
      <c r="B38" s="2"/>
      <c r="C38" s="3"/>
      <c r="D38" s="3"/>
      <c r="E38" s="3"/>
      <c r="F38" s="3"/>
      <c r="G38" s="3"/>
      <c r="H38" s="3"/>
      <c r="K38"/>
      <c r="L38" s="140" t="s">
        <v>68</v>
      </c>
    </row>
    <row r="39" spans="1:16" ht="23.25" thickBot="1">
      <c r="A39" s="110"/>
      <c r="B39" s="111"/>
      <c r="C39" s="112"/>
      <c r="D39" s="192" t="s">
        <v>105</v>
      </c>
      <c r="E39" s="193" t="s">
        <v>106</v>
      </c>
      <c r="F39" s="194" t="s">
        <v>2</v>
      </c>
      <c r="G39" s="192" t="s">
        <v>72</v>
      </c>
      <c r="H39" s="193" t="s">
        <v>73</v>
      </c>
      <c r="I39" s="193" t="s">
        <v>3</v>
      </c>
      <c r="J39" s="191" t="s">
        <v>110</v>
      </c>
      <c r="K39" s="195" t="s">
        <v>107</v>
      </c>
      <c r="L39" s="191" t="s">
        <v>111</v>
      </c>
    </row>
    <row r="40" spans="1:16">
      <c r="A40" s="165" t="s">
        <v>83</v>
      </c>
      <c r="B40" s="166"/>
      <c r="C40" s="167"/>
      <c r="D40" s="232">
        <f>('2_サービス別給付費'!D12+'2_サービス別給付費'!D14+'2_サービス別給付費'!D17+'2_サービス別給付費'!D20+'2_サービス別給付費'!D23+'2_サービス別給付費'!D25+'2_サービス別給付費'!D27+'2_サービス別給付費'!D29+'2_サービス別給付費'!D32+'2_サービス別給付費'!D35+'2_サービス別給付費'!D38+'2_サービス別給付費'!D40+'2_サービス別給付費'!D42+'2_サービス別給付費'!D47+'2_サービス別給付費'!D50+'2_サービス別給付費'!D54)</f>
        <v>94504.866999999998</v>
      </c>
      <c r="E40" s="233">
        <f>('2_サービス別給付費'!E12+'2_サービス別給付費'!E14+'2_サービス別給付費'!E17+'2_サービス別給付費'!E20+'2_サービス別給付費'!E23+'2_サービス別給付費'!E25+'2_サービス別給付費'!E27+'2_サービス別給付費'!E29+'2_サービス別給付費'!E32+'2_サービス別給付費'!E35+'2_サービス別給付費'!E38+'2_サービス別給付費'!E40+'2_サービス別給付費'!E42+'2_サービス別給付費'!E47+'2_サービス別給付費'!E50+'2_サービス別給付費'!E54)</f>
        <v>85396.856090909088</v>
      </c>
      <c r="F40" s="234">
        <f>('2_サービス別給付費'!F12+'2_サービス別給付費'!F14+'2_サービス別給付費'!F17+'2_サービス別給付費'!F20+'2_サービス別給付費'!F23+'2_サービス別給付費'!F25+'2_サービス別給付費'!F27+'2_サービス別給付費'!F29+'2_サービス別給付費'!F32+'2_サービス別給付費'!F35+'2_サービス別給付費'!F38+'2_サービス別給付費'!F40+'2_サービス別給付費'!F42+'2_サービス別給付費'!F47+'2_サービス別給付費'!F50+'2_サービス別給付費'!F54)</f>
        <v>80364.255658676004</v>
      </c>
      <c r="G40" s="235">
        <f>('2_サービス別給付費'!G12+'2_サービス別給付費'!G14+'2_サービス別給付費'!G17+'2_サービス別給付費'!G20+'2_サービス別給付費'!G23+'2_サービス別給付費'!G25+'2_サービス別給付費'!G27+'2_サービス別給付費'!G29+'2_サービス別給付費'!G32+'2_サービス別給付費'!G35+'2_サービス別給付費'!G38+'2_サービス別給付費'!G40+'2_サービス別給付費'!G42+'2_サービス別給付費'!G47+'2_サービス別給付費'!G50+'2_サービス別給付費'!G54)</f>
        <v>28548</v>
      </c>
      <c r="H40" s="233">
        <f>('2_サービス別給付費'!H12+'2_サービス別給付費'!H14+'2_サービス別給付費'!H17+'2_サービス別給付費'!H20+'2_サービス別給付費'!H23+'2_サービス別給付費'!H25+'2_サービス別給付費'!H27+'2_サービス別給付費'!H29+'2_サービス別給付費'!H32+'2_サービス別給付費'!H35+'2_サービス別給付費'!H38+'2_サービス別給付費'!H40+'2_サービス別給付費'!H42+'2_サービス別給付費'!H47+'2_サービス別給付費'!H50+'2_サービス別給付費'!H54)</f>
        <v>28559</v>
      </c>
      <c r="I40" s="233">
        <f>('2_サービス別給付費'!I12+'2_サービス別給付費'!I14+'2_サービス別給付費'!I17+'2_サービス別給付費'!I20+'2_サービス別給付費'!I23+'2_サービス別給付費'!I25+'2_サービス別給付費'!I27+'2_サービス別給付費'!I29+'2_サービス別給付費'!I32+'2_サービス別給付費'!I35+'2_サービス別給付費'!I38+'2_サービス別給付費'!I40+'2_サービス別給付費'!I42+'2_サービス別給付費'!I47+'2_サービス別給付費'!I50+'2_サービス別給付費'!I54)</f>
        <v>28559</v>
      </c>
      <c r="J40" s="348">
        <f>IFERROR((SUM(G40:I40)/3)/F40,"－")</f>
        <v>0.35532380782090328</v>
      </c>
      <c r="K40" s="236">
        <f>('2_サービス別給付費'!K12+'2_サービス別給付費'!K14+'2_サービス別給付費'!K17+'2_サービス別給付費'!K20+'2_サービス別給付費'!K23+'2_サービス別給付費'!K25+'2_サービス別給付費'!K27+'2_サービス別給付費'!K29+'2_サービス別給付費'!K32+'2_サービス別給付費'!K35+'2_サービス別給付費'!K38+'2_サービス別給付費'!K40+'2_サービス別給付費'!K42+'2_サービス別給付費'!K47+'2_サービス別給付費'!K50+'2_サービス別給付費'!K54)</f>
        <v>22801</v>
      </c>
      <c r="L40" s="348">
        <f>IFERROR(K40/F40,"－")</f>
        <v>0.28372066428190001</v>
      </c>
      <c r="N40" s="135"/>
      <c r="P40" s="135"/>
    </row>
    <row r="41" spans="1:16" s="37" customFormat="1" ht="14.25" thickBot="1">
      <c r="A41" s="168" t="s">
        <v>85</v>
      </c>
      <c r="B41" s="169"/>
      <c r="C41" s="170"/>
      <c r="D41" s="237">
        <f>('2_サービス別給付費'!D44+'2_サービス別給付費'!D52)</f>
        <v>1936.8389999999999</v>
      </c>
      <c r="E41" s="238">
        <f>('2_サービス別給付費'!E44+'2_サービス別給付費'!E52)</f>
        <v>1315.261</v>
      </c>
      <c r="F41" s="239">
        <f>('2_サービス別給付費'!F44+'2_サービス別給付費'!F52)</f>
        <v>82.188000000000002</v>
      </c>
      <c r="G41" s="237">
        <f>('2_サービス別給付費'!G44+'2_サービス別給付費'!G52)</f>
        <v>0</v>
      </c>
      <c r="H41" s="238">
        <f>('2_サービス別給付費'!H44+'2_サービス別給付費'!H52)</f>
        <v>0</v>
      </c>
      <c r="I41" s="238">
        <f>('2_サービス別給付費'!I44+'2_サービス別給付費'!I52)</f>
        <v>0</v>
      </c>
      <c r="J41" s="349">
        <f>IFERROR((SUM(G41:I41)/3)/F41,"－")</f>
        <v>0</v>
      </c>
      <c r="K41" s="240">
        <f>('2_サービス別給付費'!K44+'2_サービス別給付費'!K52)</f>
        <v>0</v>
      </c>
      <c r="L41" s="349">
        <f>IFERROR(K41/F41,"－")</f>
        <v>0</v>
      </c>
      <c r="N41" s="135"/>
      <c r="P41" s="135"/>
    </row>
    <row r="42" spans="1:16" s="135" customFormat="1" ht="14.25" thickBot="1">
      <c r="A42" s="76" t="s">
        <v>41</v>
      </c>
      <c r="B42" s="111"/>
      <c r="C42" s="164"/>
      <c r="D42" s="253">
        <f>SUM(D40:D41)</f>
        <v>96441.706000000006</v>
      </c>
      <c r="E42" s="254">
        <f t="shared" ref="E42:K42" si="6">SUM(E40:E41)</f>
        <v>86712.117090909087</v>
      </c>
      <c r="F42" s="255">
        <f t="shared" si="6"/>
        <v>80446.443658675998</v>
      </c>
      <c r="G42" s="253">
        <f t="shared" si="6"/>
        <v>28548</v>
      </c>
      <c r="H42" s="256">
        <f t="shared" si="6"/>
        <v>28559</v>
      </c>
      <c r="I42" s="254">
        <f t="shared" si="6"/>
        <v>28559</v>
      </c>
      <c r="J42" s="350">
        <f>IFERROR((SUM(G42:I42)/3)/F42,"－")</f>
        <v>0.35496079173480893</v>
      </c>
      <c r="K42" s="256">
        <f t="shared" si="6"/>
        <v>22801</v>
      </c>
      <c r="L42" s="350">
        <f>IFERROR(K42/F42,"－")</f>
        <v>0.28343080145023858</v>
      </c>
    </row>
    <row r="43" spans="1:16" s="47" customFormat="1" ht="13.5" customHeight="1">
      <c r="A43" s="55"/>
      <c r="B43" s="44"/>
      <c r="C43" s="80"/>
      <c r="D43" s="52"/>
      <c r="E43" s="81"/>
      <c r="F43" s="81"/>
      <c r="G43" s="313" t="s">
        <v>117</v>
      </c>
      <c r="H43" s="223"/>
      <c r="I43" s="223"/>
      <c r="J43" s="223"/>
      <c r="K43" s="760" t="s">
        <v>118</v>
      </c>
      <c r="L43" s="760"/>
      <c r="M43" s="760"/>
    </row>
    <row r="44" spans="1:16" s="47" customFormat="1" ht="13.5" customHeight="1">
      <c r="A44" s="55"/>
      <c r="B44" s="44"/>
      <c r="C44" s="80"/>
      <c r="D44" s="52"/>
      <c r="E44" s="81"/>
      <c r="F44" s="81"/>
      <c r="G44" s="115"/>
      <c r="H44" s="115"/>
      <c r="I44" s="115"/>
      <c r="J44" s="115"/>
      <c r="K44" s="760"/>
      <c r="L44" s="760"/>
      <c r="M44" s="760"/>
    </row>
    <row r="45" spans="1:16" s="47" customFormat="1" ht="13.5" customHeight="1">
      <c r="A45" s="55"/>
      <c r="B45" s="44"/>
      <c r="C45" s="80"/>
      <c r="D45" s="52"/>
      <c r="E45" s="81"/>
      <c r="F45" s="81"/>
      <c r="G45" s="81"/>
      <c r="H45" s="81"/>
      <c r="I45" s="115"/>
      <c r="J45" s="115"/>
    </row>
    <row r="46" spans="1:16" s="47" customFormat="1" ht="13.5" customHeight="1">
      <c r="A46" s="55"/>
      <c r="B46" s="44"/>
      <c r="C46" s="80"/>
      <c r="D46" s="52"/>
      <c r="E46" s="81"/>
      <c r="F46" s="81"/>
      <c r="G46" s="81"/>
      <c r="H46" s="81"/>
      <c r="I46" s="115"/>
      <c r="J46" s="115"/>
    </row>
    <row r="47" spans="1:16" s="47" customFormat="1" ht="13.5" customHeight="1">
      <c r="A47" s="55"/>
      <c r="B47" s="44"/>
      <c r="C47" s="80"/>
      <c r="D47" s="52"/>
      <c r="E47" s="81"/>
      <c r="F47" s="81"/>
      <c r="G47" s="81"/>
      <c r="H47" s="81"/>
      <c r="I47" s="115"/>
      <c r="J47" s="115"/>
    </row>
    <row r="48" spans="1:16" s="47" customFormat="1" ht="13.5" customHeight="1">
      <c r="A48" s="55"/>
      <c r="B48" s="44"/>
      <c r="C48" s="80"/>
      <c r="D48" s="52"/>
      <c r="E48" s="81"/>
      <c r="F48" s="81"/>
      <c r="G48" s="81"/>
      <c r="H48" s="81"/>
      <c r="I48" s="115"/>
      <c r="J48" s="115"/>
    </row>
    <row r="49" spans="1:16" s="47" customFormat="1" ht="13.5" customHeight="1">
      <c r="A49" s="55"/>
      <c r="B49" s="44"/>
      <c r="C49" s="80"/>
      <c r="D49" s="52"/>
      <c r="E49" s="81"/>
      <c r="F49" s="81"/>
      <c r="G49" s="81"/>
      <c r="H49" s="81"/>
      <c r="I49" s="115"/>
      <c r="J49" s="115"/>
    </row>
    <row r="50" spans="1:16" s="47" customFormat="1" ht="13.5" customHeight="1">
      <c r="A50" s="55"/>
      <c r="B50" s="44"/>
      <c r="C50" s="80"/>
      <c r="D50" s="52"/>
      <c r="E50" s="81"/>
      <c r="F50" s="81"/>
      <c r="G50" s="81"/>
      <c r="H50" s="81"/>
      <c r="I50" s="115"/>
      <c r="J50" s="115"/>
    </row>
    <row r="51" spans="1:16" s="47" customFormat="1" ht="13.5" customHeight="1">
      <c r="A51" s="55"/>
      <c r="B51" s="44"/>
      <c r="C51" s="80"/>
      <c r="D51" s="52"/>
      <c r="E51" s="81"/>
      <c r="F51" s="81"/>
      <c r="G51" s="81"/>
      <c r="H51" s="81"/>
      <c r="I51" s="115"/>
      <c r="J51" s="115"/>
    </row>
    <row r="52" spans="1:16" s="47" customFormat="1" ht="13.5" customHeight="1">
      <c r="A52" s="55"/>
      <c r="B52" s="44"/>
      <c r="C52" s="80"/>
      <c r="D52" s="52"/>
      <c r="E52" s="81"/>
      <c r="F52" s="81"/>
      <c r="G52" s="81"/>
      <c r="H52" s="81"/>
      <c r="I52" s="115"/>
      <c r="J52" s="115"/>
    </row>
    <row r="53" spans="1:16" s="47" customFormat="1" ht="13.5" customHeight="1">
      <c r="A53" s="55"/>
      <c r="B53" s="44"/>
      <c r="C53" s="80"/>
      <c r="D53" s="52"/>
      <c r="E53" s="81"/>
      <c r="F53" s="81"/>
      <c r="G53" s="81"/>
      <c r="H53" s="81"/>
      <c r="I53" s="115"/>
      <c r="J53" s="115"/>
    </row>
    <row r="54" spans="1:16" s="104" customFormat="1" ht="13.5" customHeight="1">
      <c r="A54" s="113"/>
      <c r="B54" s="44"/>
      <c r="C54" s="114"/>
      <c r="D54" s="106"/>
      <c r="E54" s="115"/>
      <c r="F54" s="115"/>
      <c r="G54" s="115"/>
      <c r="H54" s="115"/>
      <c r="I54" s="115"/>
      <c r="J54" s="115"/>
    </row>
    <row r="55" spans="1:16" s="104" customFormat="1" ht="16.5" customHeight="1">
      <c r="A55" s="113"/>
      <c r="B55" s="44"/>
      <c r="C55" s="114"/>
      <c r="D55" s="106"/>
      <c r="E55" s="115"/>
      <c r="F55" s="115"/>
      <c r="G55" s="115"/>
      <c r="H55" s="115"/>
      <c r="I55" s="115"/>
      <c r="J55" s="115"/>
    </row>
    <row r="56" spans="1:16" s="104" customFormat="1" ht="13.5" customHeight="1">
      <c r="A56" s="113"/>
      <c r="B56" s="44"/>
      <c r="C56" s="114"/>
      <c r="D56" s="106"/>
      <c r="E56" s="115"/>
      <c r="F56" s="115"/>
      <c r="G56" s="115"/>
      <c r="H56" s="115"/>
      <c r="I56" s="115"/>
      <c r="J56" s="115"/>
    </row>
    <row r="57" spans="1:16" s="104" customFormat="1" ht="13.5" customHeight="1">
      <c r="A57" s="113"/>
      <c r="B57" s="44"/>
      <c r="C57" s="114"/>
      <c r="D57" s="106"/>
      <c r="E57" s="115"/>
      <c r="F57" s="115"/>
      <c r="G57" s="115"/>
      <c r="H57" s="115"/>
      <c r="I57" s="115"/>
      <c r="J57" s="115"/>
    </row>
    <row r="58" spans="1:16" s="135" customFormat="1">
      <c r="A58" s="78"/>
      <c r="B58" s="79"/>
      <c r="C58" s="114"/>
      <c r="D58" s="115"/>
      <c r="E58" s="115"/>
      <c r="F58" s="115"/>
      <c r="G58" s="115"/>
      <c r="H58" s="115"/>
      <c r="I58" s="115"/>
      <c r="J58" s="115"/>
    </row>
    <row r="59" spans="1:16" s="37" customFormat="1">
      <c r="A59" s="42" t="s">
        <v>42</v>
      </c>
      <c r="B59" s="39"/>
      <c r="C59" s="38"/>
      <c r="D59" s="38"/>
      <c r="E59" s="38"/>
      <c r="F59" s="38"/>
      <c r="G59" s="38"/>
      <c r="H59" s="38"/>
      <c r="I59" s="50"/>
      <c r="J59" s="50"/>
    </row>
    <row r="60" spans="1:16" s="37" customFormat="1" ht="14.25" thickBot="1">
      <c r="A60" s="38"/>
      <c r="B60" s="39"/>
      <c r="C60" s="38"/>
      <c r="D60" s="38"/>
      <c r="E60" s="38"/>
      <c r="F60" s="38"/>
      <c r="G60" s="38"/>
      <c r="H60" s="38"/>
      <c r="I60" s="135"/>
      <c r="J60" s="135"/>
      <c r="L60" s="41" t="s">
        <v>68</v>
      </c>
    </row>
    <row r="61" spans="1:16" s="37" customFormat="1" ht="23.25" thickBot="1">
      <c r="A61" s="110"/>
      <c r="B61" s="111"/>
      <c r="C61" s="112"/>
      <c r="D61" s="107" t="s">
        <v>105</v>
      </c>
      <c r="E61" s="132" t="s">
        <v>106</v>
      </c>
      <c r="F61" s="109" t="s">
        <v>2</v>
      </c>
      <c r="G61" s="107" t="s">
        <v>72</v>
      </c>
      <c r="H61" s="156" t="s">
        <v>73</v>
      </c>
      <c r="I61" s="132" t="s">
        <v>3</v>
      </c>
      <c r="J61" s="191" t="s">
        <v>110</v>
      </c>
      <c r="K61" s="156" t="s">
        <v>107</v>
      </c>
      <c r="L61" s="191" t="s">
        <v>111</v>
      </c>
    </row>
    <row r="62" spans="1:16" s="37" customFormat="1">
      <c r="A62" s="174" t="s">
        <v>83</v>
      </c>
      <c r="B62" s="175"/>
      <c r="C62" s="176"/>
      <c r="D62" s="241">
        <f>('2_サービス別給付費'!D63+'2_サービス別給付費'!D66+'2_サービス別給付費'!D69+'2_サービス別給付費'!D72+'2_サービス別給付費'!D75+'2_サービス別給付費'!D77+'2_サービス別給付費'!D80+'2_サービス別給付費'!D83+'2_サービス別給付費'!D86+'2_サービス別給付費'!D89+'2_サービス別給付費'!D92+'2_サービス別給付費'!D94+'2_サービス別給付費'!D96+'2_サービス別給付費'!D101+'2_サービス別給付費'!D103+'2_サービス別給付費'!D105+'2_サービス別給付費'!D108+'2_サービス別給付費'!D116+'2_サービス別給付費'!D118+'2_サービス別給付費'!D130)</f>
        <v>846913.01600000006</v>
      </c>
      <c r="E62" s="243">
        <f>('2_サービス別給付費'!E63+'2_サービス別給付費'!E66+'2_サービス別給付費'!E69+'2_サービス別給付費'!E72+'2_サービス別給付費'!E75+'2_サービス別給付費'!E77+'2_サービス別給付費'!E80+'2_サービス別給付費'!E83+'2_サービス別給付費'!E86+'2_サービス別給付費'!E89+'2_サービス別給付費'!E92+'2_サービス別給付費'!E94+'2_サービス別給付費'!E96+'2_サービス別給付費'!E101+'2_サービス別給付費'!E103+'2_サービス別給付費'!E105+'2_サービス別給付費'!E108+'2_サービス別給付費'!E116+'2_サービス別給付費'!E118+'2_サービス別給付費'!E130)</f>
        <v>869728.14454545453</v>
      </c>
      <c r="F62" s="252">
        <f>('2_サービス別給付費'!F63+'2_サービス別給付費'!F66+'2_サービス別給付費'!F69+'2_サービス別給付費'!F72+'2_サービス別給付費'!F75+'2_サービス別給付費'!F77+'2_サービス別給付費'!F80+'2_サービス別給付費'!F83+'2_サービス別給付費'!F86+'2_サービス別給付費'!F89+'2_サービス別給付費'!F92+'2_サービス別給付費'!F94+'2_サービス別給付費'!F96+'2_サービス別給付費'!F101+'2_サービス別給付費'!F103+'2_サービス別給付費'!F105+'2_サービス別給付費'!F108+'2_サービス別給付費'!F116+'2_サービス別給付費'!F118+'2_サービス別給付費'!F130)</f>
        <v>891072.12463887455</v>
      </c>
      <c r="G62" s="241">
        <f>('2_サービス別給付費'!G63+'2_サービス別給付費'!G66+'2_サービス別給付費'!G69+'2_サービス別給付費'!G72+'2_サービス別給付費'!G75+'2_サービス別給付費'!G77+'2_サービス別給付費'!G80+'2_サービス別給付費'!G83+'2_サービス別給付費'!G86+'2_サービス別給付費'!G89+'2_サービス別給付費'!G92+'2_サービス別給付費'!G94+'2_サービス別給付費'!G96+'2_サービス別給付費'!G101+'2_サービス別給付費'!G103+'2_サービス別給付費'!G105+'2_サービス別給付費'!G108+'2_サービス別給付費'!G116+'2_サービス別給付費'!G118+'2_サービス別給付費'!G130)</f>
        <v>882039</v>
      </c>
      <c r="H62" s="242">
        <f>('2_サービス別給付費'!H63+'2_サービス別給付費'!H66+'2_サービス別給付費'!H69+'2_サービス別給付費'!H72+'2_サービス別給付費'!H75+'2_サービス別給付費'!H77+'2_サービス別給付費'!H80+'2_サービス別給付費'!H83+'2_サービス別給付費'!H86+'2_サービス別給付費'!H89+'2_サービス別給付費'!H92+'2_サービス別給付費'!H94+'2_サービス別給付費'!H96+'2_サービス別給付費'!H101+'2_サービス別給付費'!H103+'2_サービス別給付費'!H105+'2_サービス別給付費'!H108+'2_サービス別給付費'!H116+'2_サービス別給付費'!H118+'2_サービス別給付費'!H130)</f>
        <v>882103</v>
      </c>
      <c r="I62" s="243">
        <f>('2_サービス別給付費'!I63+'2_サービス別給付費'!I66+'2_サービス別給付費'!I69+'2_サービス別給付費'!I72+'2_サービス別給付費'!I75+'2_サービス別給付費'!I77+'2_サービス別給付費'!I80+'2_サービス別給付費'!I83+'2_サービス別給付費'!I86+'2_サービス別給付費'!I89+'2_サービス別給付費'!I92+'2_サービス別給付費'!I94+'2_サービス別給付費'!I96+'2_サービス別給付費'!I101+'2_サービス別給付費'!I103+'2_サービス別給付費'!I105+'2_サービス別給付費'!I108+'2_サービス別給付費'!I116+'2_サービス別給付費'!I118+'2_サービス別給付費'!I130)</f>
        <v>881393</v>
      </c>
      <c r="J62" s="351">
        <f>IFERROR((SUM(G62:I62)/3)/F62,"－")</f>
        <v>0.9896449183138637</v>
      </c>
      <c r="K62" s="242">
        <f>('2_サービス別給付費'!K63+'2_サービス別給付費'!K66+'2_サービス別給付費'!K69+'2_サービス別給付費'!K72+'2_サービス別給付費'!K75+'2_サービス別給付費'!K77+'2_サービス別給付費'!K80+'2_サービス別給付費'!K83+'2_サービス別給付費'!K86+'2_サービス別給付費'!K89+'2_サービス別給付費'!K92+'2_サービス別給付費'!K94+'2_サービス別給付費'!K96+'2_サービス別給付費'!K101+'2_サービス別給付費'!K103+'2_サービス別給付費'!K105+'2_サービス別給付費'!K108+'2_サービス別給付費'!K116+'2_サービス別給付費'!K118+'2_サービス別給付費'!K130)</f>
        <v>812987</v>
      </c>
      <c r="L62" s="351">
        <f>IFERROR(K62/F62,"－")</f>
        <v>0.91236946765614491</v>
      </c>
      <c r="N62" s="135"/>
      <c r="P62" s="135"/>
    </row>
    <row r="63" spans="1:16" s="37" customFormat="1">
      <c r="A63" s="172" t="s">
        <v>84</v>
      </c>
      <c r="B63" s="171"/>
      <c r="C63" s="173"/>
      <c r="D63" s="244">
        <f>('2_サービス別給付費'!D98+'2_サービス別給付費'!D110+'2_サービス別給付費'!D112)</f>
        <v>285454.59399999998</v>
      </c>
      <c r="E63" s="246">
        <f>('2_サービス別給付費'!E98+'2_サービス別給付費'!E110+'2_サービス別給付費'!E112)</f>
        <v>293889.99099999998</v>
      </c>
      <c r="F63" s="250">
        <f>('2_サービス別給付費'!F98+'2_サービス別給付費'!F110+'2_サービス別給付費'!F112)</f>
        <v>309389.80843978829</v>
      </c>
      <c r="G63" s="244">
        <f>('2_サービス別給付費'!G98+'2_サービス別給付費'!G110+'2_サービス別給付費'!G112)</f>
        <v>311496</v>
      </c>
      <c r="H63" s="245">
        <f>('2_サービス別給付費'!H98+'2_サービス別給付費'!H110+'2_サービス別給付費'!H112)</f>
        <v>311636</v>
      </c>
      <c r="I63" s="246">
        <f>('2_サービス別給付費'!I98+'2_サービス別給付費'!I110+'2_サービス別給付費'!I112)</f>
        <v>311636</v>
      </c>
      <c r="J63" s="352">
        <f>IFERROR((SUM(G63:I63)/3)/F63,"－")</f>
        <v>1.0071092351252193</v>
      </c>
      <c r="K63" s="245">
        <f>('2_サービス別給付費'!K98+'2_サービス別給付費'!K110+'2_サービス別給付費'!K112)</f>
        <v>273898</v>
      </c>
      <c r="L63" s="352">
        <f>IFERROR(K63/F63,"－")</f>
        <v>0.88528449395677</v>
      </c>
      <c r="N63" s="135"/>
      <c r="P63" s="135"/>
    </row>
    <row r="64" spans="1:16" s="37" customFormat="1" ht="14.25" thickBot="1">
      <c r="A64" s="177" t="s">
        <v>66</v>
      </c>
      <c r="B64" s="178"/>
      <c r="C64" s="179"/>
      <c r="D64" s="247">
        <f>('2_サービス別給付費'!D114+'2_サービス別給付費'!D122+'2_サービス別給付費'!D124+'2_サービス別給付費'!D128)</f>
        <v>1082362.334</v>
      </c>
      <c r="E64" s="249">
        <f>('2_サービス別給付費'!E114+'2_サービス別給付費'!E122+'2_サービス別給付費'!E124+'2_サービス別給付費'!E128)</f>
        <v>1078652.7220000001</v>
      </c>
      <c r="F64" s="251">
        <f>('2_サービス別給付費'!F114+'2_サービス別給付費'!F122+'2_サービス別給付費'!F124+'2_サービス別給付費'!F128)</f>
        <v>1145352.369742797</v>
      </c>
      <c r="G64" s="247">
        <f>('2_サービス別給付費'!G114+'2_サービス別給付費'!G122+'2_サービス別給付費'!G124+'2_サービス別給付費'!G126+'2_サービス別給付費'!G128)</f>
        <v>1108753</v>
      </c>
      <c r="H64" s="248">
        <f>('2_サービス別給付費'!H114+'2_サービス別給付費'!H122+'2_サービス別給付費'!H124+'2_サービス別給付費'!H126+'2_サービス別給付費'!H128)</f>
        <v>1109250</v>
      </c>
      <c r="I64" s="249">
        <f>('2_サービス別給付費'!I114+'2_サービス別給付費'!I122+'2_サービス別給付費'!I124+'2_サービス別給付費'!I126+'2_サービス別給付費'!I128)</f>
        <v>1109251</v>
      </c>
      <c r="J64" s="353">
        <f>IFERROR((SUM(G64:I64)/3)/F64,"－")</f>
        <v>0.96833489497710246</v>
      </c>
      <c r="K64" s="248">
        <f>('2_サービス別給付費'!K114+'2_サービス別給付費'!K122+'2_サービス別給付費'!K124+'2_サービス別給付費'!K126)</f>
        <v>1066132</v>
      </c>
      <c r="L64" s="354">
        <f>IFERROR(K64/F64,"－")</f>
        <v>0.93083318999847453</v>
      </c>
      <c r="N64" s="135"/>
      <c r="P64" s="135"/>
    </row>
    <row r="65" spans="1:16" s="37" customFormat="1" ht="14.25" thickBot="1">
      <c r="A65" s="76" t="s">
        <v>41</v>
      </c>
      <c r="B65" s="111"/>
      <c r="C65" s="164"/>
      <c r="D65" s="253">
        <f>SUM(D62:D64)</f>
        <v>2214729.9440000001</v>
      </c>
      <c r="E65" s="254">
        <f t="shared" ref="E65:I65" si="7">SUM(E62:E64)</f>
        <v>2242270.8575454545</v>
      </c>
      <c r="F65" s="255">
        <f>SUM(F62:F64)</f>
        <v>2345814.3028214602</v>
      </c>
      <c r="G65" s="253">
        <f t="shared" si="7"/>
        <v>2302288</v>
      </c>
      <c r="H65" s="256">
        <f t="shared" si="7"/>
        <v>2302989</v>
      </c>
      <c r="I65" s="254">
        <f t="shared" si="7"/>
        <v>2302280</v>
      </c>
      <c r="J65" s="350">
        <f>IFERROR((SUM(G65:I65)/3)/F65,"－")</f>
        <v>0.98154359329748042</v>
      </c>
      <c r="K65" s="256">
        <f>SUM(K62:K64)</f>
        <v>2153017</v>
      </c>
      <c r="L65" s="350">
        <f>IFERROR(K65/F65,"－")</f>
        <v>0.91781220594078117</v>
      </c>
      <c r="N65" s="135"/>
      <c r="P65" s="135"/>
    </row>
    <row r="66" spans="1:16" s="47" customFormat="1">
      <c r="A66" s="78"/>
      <c r="B66" s="79"/>
      <c r="C66" s="80"/>
      <c r="D66" s="81"/>
      <c r="E66" s="81"/>
      <c r="F66" s="81"/>
      <c r="G66" s="313" t="s">
        <v>117</v>
      </c>
      <c r="H66" s="223"/>
      <c r="I66" s="223"/>
      <c r="J66" s="223"/>
      <c r="K66" s="760" t="s">
        <v>118</v>
      </c>
      <c r="L66" s="760"/>
      <c r="M66" s="760"/>
    </row>
    <row r="67" spans="1:16" s="47" customFormat="1">
      <c r="A67" s="78"/>
      <c r="B67" s="79"/>
      <c r="C67" s="80"/>
      <c r="D67" s="81"/>
      <c r="E67" s="81"/>
      <c r="F67" s="81"/>
      <c r="G67" s="81"/>
      <c r="H67" s="81"/>
      <c r="I67" s="115"/>
      <c r="J67" s="115"/>
      <c r="K67" s="760"/>
      <c r="L67" s="760"/>
      <c r="M67" s="760"/>
    </row>
    <row r="68" spans="1:16" s="47" customFormat="1">
      <c r="A68" s="78"/>
      <c r="B68" s="79"/>
      <c r="C68" s="80"/>
      <c r="D68" s="81"/>
      <c r="E68" s="81"/>
      <c r="F68" s="81"/>
      <c r="G68" s="81"/>
      <c r="H68" s="81"/>
      <c r="I68" s="115"/>
      <c r="J68" s="115"/>
    </row>
    <row r="69" spans="1:16" s="47" customFormat="1">
      <c r="A69" s="78"/>
      <c r="B69" s="79"/>
      <c r="C69" s="80"/>
      <c r="D69" s="81"/>
      <c r="E69" s="81"/>
      <c r="F69" s="81"/>
      <c r="G69" s="81"/>
      <c r="H69" s="81"/>
      <c r="I69" s="115"/>
      <c r="J69" s="115"/>
    </row>
    <row r="70" spans="1:16" s="47" customFormat="1">
      <c r="A70" s="78"/>
      <c r="B70" s="79"/>
      <c r="C70" s="80"/>
      <c r="D70" s="81"/>
      <c r="E70" s="81"/>
      <c r="F70" s="81"/>
      <c r="G70" s="81"/>
      <c r="H70" s="81"/>
      <c r="I70" s="115"/>
      <c r="J70" s="115"/>
    </row>
    <row r="71" spans="1:16" s="47" customFormat="1">
      <c r="A71" s="78"/>
      <c r="B71" s="79"/>
      <c r="C71" s="80"/>
      <c r="D71" s="81"/>
      <c r="E71" s="81"/>
      <c r="F71" s="81"/>
      <c r="G71" s="81"/>
      <c r="H71" s="81"/>
      <c r="I71" s="115"/>
      <c r="J71" s="115"/>
    </row>
    <row r="72" spans="1:16" s="47" customFormat="1">
      <c r="A72" s="78"/>
      <c r="B72" s="79"/>
      <c r="C72" s="80"/>
      <c r="D72" s="81"/>
      <c r="E72" s="81"/>
      <c r="F72" s="81"/>
      <c r="G72" s="81"/>
      <c r="H72" s="81"/>
      <c r="I72" s="115"/>
      <c r="J72" s="115"/>
    </row>
    <row r="73" spans="1:16" s="47" customFormat="1">
      <c r="A73" s="78"/>
      <c r="B73" s="79"/>
      <c r="C73" s="80"/>
      <c r="D73" s="81"/>
      <c r="E73" s="81"/>
      <c r="F73" s="81"/>
      <c r="G73" s="81"/>
      <c r="H73" s="81"/>
      <c r="I73" s="115"/>
      <c r="J73" s="115"/>
    </row>
    <row r="74" spans="1:16" s="47" customFormat="1">
      <c r="A74" s="78"/>
      <c r="B74" s="79"/>
      <c r="C74" s="80"/>
      <c r="D74" s="81"/>
      <c r="E74" s="81"/>
      <c r="F74" s="81"/>
      <c r="G74" s="81"/>
      <c r="H74" s="81"/>
      <c r="I74" s="115"/>
      <c r="J74" s="115"/>
    </row>
    <row r="75" spans="1:16" s="47" customFormat="1">
      <c r="A75" s="78"/>
      <c r="B75" s="79"/>
      <c r="C75" s="80"/>
      <c r="D75" s="81"/>
      <c r="E75" s="81"/>
      <c r="F75" s="81"/>
      <c r="G75" s="81"/>
      <c r="H75" s="81"/>
      <c r="I75" s="115"/>
      <c r="J75" s="115"/>
    </row>
    <row r="76" spans="1:16" s="47" customFormat="1">
      <c r="A76" s="78"/>
      <c r="B76" s="79"/>
      <c r="C76" s="80"/>
      <c r="D76" s="81"/>
      <c r="E76" s="81"/>
      <c r="F76" s="81"/>
      <c r="G76" s="81"/>
      <c r="H76" s="81"/>
      <c r="I76" s="115"/>
      <c r="J76" s="115"/>
    </row>
    <row r="77" spans="1:16" s="47" customFormat="1">
      <c r="A77" s="78"/>
      <c r="B77" s="79"/>
      <c r="C77" s="80"/>
      <c r="D77" s="81"/>
      <c r="E77" s="81"/>
      <c r="F77" s="81"/>
      <c r="G77" s="81"/>
      <c r="H77" s="81"/>
      <c r="I77" s="115"/>
      <c r="J77" s="115"/>
    </row>
    <row r="78" spans="1:16" s="47" customFormat="1">
      <c r="A78" s="78"/>
      <c r="B78" s="79"/>
      <c r="C78" s="80"/>
      <c r="D78" s="81"/>
      <c r="E78" s="81"/>
      <c r="F78" s="81"/>
      <c r="G78" s="81"/>
      <c r="H78" s="81"/>
      <c r="I78" s="115"/>
      <c r="J78" s="115"/>
    </row>
    <row r="79" spans="1:16" s="47" customFormat="1">
      <c r="A79" s="78"/>
      <c r="B79" s="79"/>
      <c r="C79" s="80"/>
      <c r="D79" s="81"/>
      <c r="E79" s="81"/>
      <c r="F79" s="81"/>
      <c r="G79" s="81"/>
      <c r="H79" s="81"/>
      <c r="I79" s="115"/>
      <c r="J79" s="115"/>
    </row>
    <row r="80" spans="1:16" s="47" customFormat="1">
      <c r="A80" s="78"/>
      <c r="B80" s="79"/>
      <c r="C80" s="80"/>
      <c r="D80" s="81"/>
      <c r="E80" s="81"/>
      <c r="F80" s="81"/>
      <c r="G80" s="81"/>
      <c r="H80" s="81"/>
      <c r="I80" s="115"/>
      <c r="J80" s="115"/>
    </row>
    <row r="81" spans="1:19">
      <c r="A81" s="3"/>
      <c r="B81" s="2"/>
      <c r="C81" s="3"/>
      <c r="D81" s="3"/>
      <c r="E81" s="3"/>
      <c r="F81" s="3"/>
      <c r="G81" s="3"/>
      <c r="H81" s="3"/>
      <c r="I81" s="50"/>
      <c r="J81" s="50"/>
      <c r="K81"/>
    </row>
    <row r="82" spans="1:19">
      <c r="A82" s="1" t="s">
        <v>112</v>
      </c>
      <c r="B82" s="2"/>
      <c r="C82" s="3"/>
      <c r="D82" s="29"/>
      <c r="E82" s="29"/>
      <c r="F82" s="29"/>
      <c r="G82" s="29"/>
      <c r="H82" s="29"/>
      <c r="I82" s="29"/>
      <c r="J82" s="29"/>
      <c r="K82"/>
    </row>
    <row r="83" spans="1:19" ht="14.25" thickBot="1">
      <c r="A83" s="3"/>
      <c r="B83" s="2"/>
      <c r="C83" s="3"/>
      <c r="D83" s="29"/>
      <c r="E83" s="3"/>
      <c r="F83" s="3"/>
      <c r="G83" s="3"/>
      <c r="H83" s="3"/>
      <c r="K83"/>
      <c r="L83" s="28" t="s">
        <v>68</v>
      </c>
    </row>
    <row r="84" spans="1:19" ht="23.25" thickBot="1">
      <c r="A84" s="30"/>
      <c r="B84" s="31"/>
      <c r="C84" s="32"/>
      <c r="D84" s="107" t="s">
        <v>105</v>
      </c>
      <c r="E84" s="132" t="s">
        <v>106</v>
      </c>
      <c r="F84" s="109" t="s">
        <v>2</v>
      </c>
      <c r="G84" s="8" t="s">
        <v>72</v>
      </c>
      <c r="H84" s="9" t="s">
        <v>73</v>
      </c>
      <c r="I84" s="109" t="s">
        <v>3</v>
      </c>
      <c r="J84" s="191" t="s">
        <v>110</v>
      </c>
      <c r="K84" s="107" t="s">
        <v>107</v>
      </c>
      <c r="L84" s="191" t="s">
        <v>111</v>
      </c>
    </row>
    <row r="85" spans="1:19" ht="14.25" thickBot="1">
      <c r="A85" s="33" t="s">
        <v>69</v>
      </c>
      <c r="B85" s="34"/>
      <c r="C85" s="35"/>
      <c r="D85" s="257">
        <f>D42+D65</f>
        <v>2311171.6500000004</v>
      </c>
      <c r="E85" s="258">
        <f>E65+E42</f>
        <v>2328982.9746363638</v>
      </c>
      <c r="F85" s="259">
        <f>F65+F42</f>
        <v>2426260.7464801362</v>
      </c>
      <c r="G85" s="257">
        <f>G65+G42</f>
        <v>2330836</v>
      </c>
      <c r="H85" s="258">
        <f>H65+H42</f>
        <v>2331548</v>
      </c>
      <c r="I85" s="259">
        <f>I65+I42</f>
        <v>2330839</v>
      </c>
      <c r="J85" s="350">
        <f>IFERROR((SUM(G85:I85)/3)/F85,"－")</f>
        <v>0.96076826726686604</v>
      </c>
      <c r="K85" s="257">
        <f>K65+K42</f>
        <v>2175818</v>
      </c>
      <c r="L85" s="350">
        <f>IFERROR(K85/F85,"－")</f>
        <v>0.89677830511685008</v>
      </c>
      <c r="N85" s="135"/>
      <c r="P85" s="135"/>
    </row>
    <row r="86" spans="1:19">
      <c r="A86" s="50" t="s">
        <v>122</v>
      </c>
      <c r="B86" s="2"/>
      <c r="C86" s="3"/>
      <c r="D86" s="3"/>
      <c r="E86" s="3"/>
      <c r="F86" s="3"/>
      <c r="G86" s="313" t="s">
        <v>117</v>
      </c>
      <c r="H86" s="223"/>
      <c r="I86" s="223"/>
      <c r="J86" s="223"/>
      <c r="K86" s="760" t="s">
        <v>118</v>
      </c>
      <c r="L86" s="760"/>
      <c r="M86" s="760"/>
    </row>
    <row r="87" spans="1:19">
      <c r="K87" s="760"/>
      <c r="L87" s="760"/>
      <c r="M87" s="760"/>
    </row>
    <row r="88" spans="1:19">
      <c r="A88" s="105" t="s">
        <v>103</v>
      </c>
      <c r="L88" s="135"/>
    </row>
    <row r="89" spans="1:19" ht="14.25" thickBot="1">
      <c r="H89" s="36"/>
      <c r="I89" s="36" t="s">
        <v>76</v>
      </c>
      <c r="L89" s="135"/>
    </row>
    <row r="90" spans="1:19" ht="14.25" thickBot="1">
      <c r="A90" s="118"/>
      <c r="B90" s="121"/>
      <c r="C90" s="119"/>
      <c r="D90" s="107" t="s">
        <v>105</v>
      </c>
      <c r="E90" s="132" t="s">
        <v>106</v>
      </c>
      <c r="F90" s="120" t="s">
        <v>2</v>
      </c>
      <c r="G90" s="107" t="s">
        <v>72</v>
      </c>
      <c r="H90" s="132" t="s">
        <v>73</v>
      </c>
      <c r="I90" s="120" t="s">
        <v>3</v>
      </c>
      <c r="L90" s="135"/>
    </row>
    <row r="91" spans="1:19">
      <c r="A91" s="162" t="s">
        <v>77</v>
      </c>
      <c r="B91" s="180"/>
      <c r="C91" s="181"/>
      <c r="D91" s="355">
        <f t="shared" ref="D91:I91" si="8">IFERROR((D62+D40)/D12,"－")</f>
        <v>132.20304493750879</v>
      </c>
      <c r="E91" s="356">
        <f t="shared" si="8"/>
        <v>134.24104014565899</v>
      </c>
      <c r="F91" s="357">
        <f t="shared" si="8"/>
        <v>137.59722100531877</v>
      </c>
      <c r="G91" s="355">
        <f t="shared" si="8"/>
        <v>129.99100642398287</v>
      </c>
      <c r="H91" s="356">
        <f t="shared" si="8"/>
        <v>131.0305035971223</v>
      </c>
      <c r="I91" s="357">
        <f t="shared" si="8"/>
        <v>131.97273386511966</v>
      </c>
      <c r="L91" s="135"/>
      <c r="N91" s="135"/>
      <c r="O91" s="135"/>
      <c r="P91" s="135"/>
      <c r="Q91" s="135"/>
      <c r="R91" s="135"/>
      <c r="S91" s="135"/>
    </row>
    <row r="92" spans="1:19" ht="14.25" thickBot="1">
      <c r="A92" s="182" t="s">
        <v>78</v>
      </c>
      <c r="B92" s="183"/>
      <c r="C92" s="155"/>
      <c r="D92" s="358">
        <f>IFERROR(D64/D12,"－")</f>
        <v>151.99583401207695</v>
      </c>
      <c r="E92" s="359">
        <f t="shared" ref="E92:I92" si="9">IFERROR(E64/E12,"－")</f>
        <v>151.60263134223473</v>
      </c>
      <c r="F92" s="360">
        <f t="shared" si="9"/>
        <v>162.23121384458881</v>
      </c>
      <c r="G92" s="358">
        <f t="shared" si="9"/>
        <v>158.28022840827981</v>
      </c>
      <c r="H92" s="359">
        <f t="shared" si="9"/>
        <v>159.60431654676259</v>
      </c>
      <c r="I92" s="360">
        <f t="shared" si="9"/>
        <v>160.87759245830313</v>
      </c>
      <c r="L92" s="135"/>
      <c r="N92" s="135"/>
      <c r="O92" s="135"/>
      <c r="P92" s="135"/>
      <c r="Q92" s="135"/>
      <c r="R92" s="135"/>
      <c r="S92" s="135"/>
    </row>
    <row r="93" spans="1:19">
      <c r="L93" s="135"/>
    </row>
    <row r="94" spans="1:19">
      <c r="L94" s="135"/>
    </row>
    <row r="95" spans="1:19">
      <c r="L95" s="135"/>
    </row>
    <row r="101" spans="8:12">
      <c r="H101" s="762"/>
      <c r="I101" s="762"/>
      <c r="J101" s="762"/>
      <c r="K101" s="762"/>
      <c r="L101" s="762"/>
    </row>
    <row r="102" spans="8:12">
      <c r="H102" s="762"/>
      <c r="I102" s="762"/>
      <c r="J102" s="762"/>
      <c r="K102" s="762"/>
      <c r="L102" s="762"/>
    </row>
    <row r="103" spans="8:12">
      <c r="H103" s="762"/>
      <c r="I103" s="762"/>
      <c r="J103" s="762"/>
      <c r="K103" s="762"/>
      <c r="L103" s="762"/>
    </row>
    <row r="104" spans="8:12">
      <c r="H104" s="762"/>
      <c r="I104" s="762"/>
      <c r="J104" s="762"/>
      <c r="K104" s="762"/>
      <c r="L104" s="762"/>
    </row>
    <row r="105" spans="8:12">
      <c r="H105" s="762"/>
      <c r="I105" s="762"/>
      <c r="J105" s="762"/>
      <c r="K105" s="762"/>
      <c r="L105" s="762"/>
    </row>
    <row r="106" spans="8:12">
      <c r="H106" s="762" t="s">
        <v>113</v>
      </c>
      <c r="I106" s="762"/>
      <c r="J106" s="762"/>
      <c r="K106" s="762"/>
      <c r="L106" s="762"/>
    </row>
    <row r="107" spans="8:12">
      <c r="H107" s="762"/>
      <c r="I107" s="762"/>
      <c r="J107" s="762"/>
      <c r="K107" s="762"/>
      <c r="L107" s="762"/>
    </row>
    <row r="108" spans="8:12">
      <c r="H108" s="762"/>
      <c r="I108" s="762"/>
      <c r="J108" s="762"/>
      <c r="K108" s="762"/>
      <c r="L108" s="762"/>
    </row>
    <row r="109" spans="8:12">
      <c r="H109" s="762"/>
      <c r="I109" s="762"/>
      <c r="J109" s="762"/>
      <c r="K109" s="762"/>
      <c r="L109" s="762"/>
    </row>
    <row r="110" spans="8:12">
      <c r="H110" s="762"/>
      <c r="I110" s="762"/>
      <c r="J110" s="762"/>
      <c r="K110" s="762"/>
      <c r="L110" s="762"/>
    </row>
    <row r="113" spans="1:16">
      <c r="A113" s="138" t="s">
        <v>120</v>
      </c>
    </row>
    <row r="114" spans="1:16" s="135" customFormat="1" ht="14.25" thickBot="1">
      <c r="A114" s="138"/>
      <c r="F114" s="140"/>
      <c r="H114" s="140" t="s">
        <v>96</v>
      </c>
    </row>
    <row r="115" spans="1:16" s="117" customFormat="1" ht="14.25" thickBot="1">
      <c r="A115" s="118"/>
      <c r="B115" s="121"/>
      <c r="C115" s="119"/>
      <c r="D115" s="321"/>
      <c r="E115" s="322"/>
      <c r="F115" s="146" t="s">
        <v>81</v>
      </c>
      <c r="G115" s="133" t="s">
        <v>82</v>
      </c>
      <c r="H115" s="134" t="s">
        <v>86</v>
      </c>
      <c r="I115" s="135"/>
      <c r="J115" s="135"/>
    </row>
    <row r="116" spans="1:16" s="117" customFormat="1" ht="14.25" thickBot="1">
      <c r="A116" s="118" t="s">
        <v>87</v>
      </c>
      <c r="B116" s="121"/>
      <c r="C116" s="119"/>
      <c r="D116" s="321"/>
      <c r="E116" s="322"/>
      <c r="F116" s="260">
        <v>6000</v>
      </c>
      <c r="G116" s="260">
        <v>6399.7329487971201</v>
      </c>
      <c r="H116" s="261">
        <v>7199.8124956602296</v>
      </c>
      <c r="I116" s="135"/>
      <c r="J116" s="135"/>
    </row>
    <row r="117" spans="1:16" s="135" customFormat="1" ht="14.25" thickBot="1">
      <c r="A117" s="118" t="s">
        <v>119</v>
      </c>
      <c r="B117" s="121"/>
      <c r="C117" s="119"/>
      <c r="D117" s="321"/>
      <c r="E117" s="322"/>
      <c r="F117" s="148"/>
      <c r="G117" s="361">
        <f>IFERROR(G116/F116,"－")</f>
        <v>1.0666221581328534</v>
      </c>
      <c r="H117" s="362">
        <f>IFERROR(H116/F116,"－")</f>
        <v>1.1999687492767048</v>
      </c>
    </row>
    <row r="118" spans="1:16" s="135" customFormat="1">
      <c r="A118" s="137"/>
      <c r="B118" s="45"/>
      <c r="C118" s="137"/>
      <c r="D118" s="128"/>
      <c r="E118" s="128"/>
      <c r="F118" s="128"/>
      <c r="G118" s="128"/>
      <c r="H118" s="128"/>
    </row>
    <row r="120" spans="1:16">
      <c r="A120" s="138" t="s">
        <v>101</v>
      </c>
      <c r="E120" s="139"/>
      <c r="F120" s="136"/>
      <c r="G120" s="136"/>
      <c r="H120" s="125"/>
      <c r="I120" s="124"/>
      <c r="J120" s="124"/>
      <c r="K120" s="124"/>
      <c r="L120" s="124"/>
    </row>
    <row r="121" spans="1:16" ht="14.25" thickBot="1">
      <c r="D121" s="140"/>
      <c r="E121" s="136"/>
      <c r="F121" s="140"/>
      <c r="G121" s="140"/>
      <c r="H121" s="124"/>
      <c r="I121" s="140" t="s">
        <v>115</v>
      </c>
      <c r="J121" s="124"/>
      <c r="K121"/>
    </row>
    <row r="122" spans="1:16" s="135" customFormat="1" ht="14.25" thickBot="1">
      <c r="D122" s="776" t="s">
        <v>81</v>
      </c>
      <c r="E122" s="777"/>
      <c r="F122" s="776" t="s">
        <v>97</v>
      </c>
      <c r="G122" s="777"/>
      <c r="H122" s="776" t="s">
        <v>98</v>
      </c>
      <c r="I122" s="777"/>
      <c r="J122" s="124"/>
      <c r="K122" s="124"/>
    </row>
    <row r="123" spans="1:16" ht="14.25" thickBot="1">
      <c r="A123" s="131"/>
      <c r="B123" s="141"/>
      <c r="C123" s="315"/>
      <c r="D123" s="145" t="s">
        <v>88</v>
      </c>
      <c r="E123" s="126" t="s">
        <v>114</v>
      </c>
      <c r="F123" s="145" t="s">
        <v>88</v>
      </c>
      <c r="G123" s="126" t="s">
        <v>114</v>
      </c>
      <c r="H123" s="127" t="s">
        <v>88</v>
      </c>
      <c r="I123" s="126" t="s">
        <v>114</v>
      </c>
      <c r="J123" s="124"/>
      <c r="K123" s="124"/>
    </row>
    <row r="124" spans="1:16">
      <c r="A124" s="314" t="s">
        <v>69</v>
      </c>
      <c r="B124" s="316"/>
      <c r="C124" s="317"/>
      <c r="D124" s="262">
        <v>5100</v>
      </c>
      <c r="E124" s="323">
        <f t="shared" ref="E124:E134" si="10">IFERROR(D124/D$132,"－")</f>
        <v>0.85</v>
      </c>
      <c r="F124" s="262">
        <v>5564.8957250994799</v>
      </c>
      <c r="G124" s="323">
        <f t="shared" ref="G124:G134" si="11">IFERROR(F124/F$132,"－")</f>
        <v>0.84703839019568261</v>
      </c>
      <c r="H124" s="263">
        <v>6091.5453678519498</v>
      </c>
      <c r="I124" s="323">
        <f t="shared" ref="I124:I134" si="12">IFERROR(H124/H$132,"－")</f>
        <v>0.84277416530504645</v>
      </c>
      <c r="J124" s="124"/>
      <c r="K124" s="124"/>
      <c r="L124" s="135"/>
      <c r="P124" s="135"/>
    </row>
    <row r="125" spans="1:16">
      <c r="A125" s="130"/>
      <c r="B125" s="142" t="s">
        <v>77</v>
      </c>
      <c r="C125" s="318"/>
      <c r="D125" s="264">
        <v>1978</v>
      </c>
      <c r="E125" s="324">
        <f t="shared" si="10"/>
        <v>0.32966666666666666</v>
      </c>
      <c r="F125" s="264">
        <v>2173.3682408365098</v>
      </c>
      <c r="G125" s="324">
        <f t="shared" si="11"/>
        <v>0.33081057165499195</v>
      </c>
      <c r="H125" s="265">
        <v>2339.9202138718601</v>
      </c>
      <c r="I125" s="324">
        <f t="shared" si="12"/>
        <v>0.32373136635140154</v>
      </c>
      <c r="J125" s="124"/>
      <c r="K125" s="124"/>
      <c r="L125" s="135"/>
      <c r="N125" s="135"/>
      <c r="P125" s="135"/>
    </row>
    <row r="126" spans="1:16">
      <c r="A126" s="130"/>
      <c r="B126" s="142" t="s">
        <v>89</v>
      </c>
      <c r="C126" s="318"/>
      <c r="D126" s="264">
        <v>583</v>
      </c>
      <c r="E126" s="324">
        <f t="shared" si="10"/>
        <v>9.7166666666666665E-2</v>
      </c>
      <c r="F126" s="264">
        <v>743.84678526050095</v>
      </c>
      <c r="G126" s="324">
        <f t="shared" si="11"/>
        <v>0.11322166931133738</v>
      </c>
      <c r="H126" s="265">
        <v>766.82061328838802</v>
      </c>
      <c r="I126" s="324">
        <f t="shared" si="12"/>
        <v>0.10609074763087799</v>
      </c>
      <c r="J126" s="124"/>
      <c r="K126" s="124"/>
      <c r="L126" s="135"/>
      <c r="N126" s="135"/>
      <c r="P126" s="135"/>
    </row>
    <row r="127" spans="1:16">
      <c r="A127" s="123"/>
      <c r="B127" s="142" t="s">
        <v>78</v>
      </c>
      <c r="C127" s="318"/>
      <c r="D127" s="264">
        <v>2539</v>
      </c>
      <c r="E127" s="324">
        <f t="shared" si="10"/>
        <v>0.42316666666666669</v>
      </c>
      <c r="F127" s="264">
        <v>2647.6806990024702</v>
      </c>
      <c r="G127" s="324">
        <f t="shared" si="11"/>
        <v>0.40300614922935346</v>
      </c>
      <c r="H127" s="265">
        <v>2984.8045406916999</v>
      </c>
      <c r="I127" s="324">
        <f t="shared" si="12"/>
        <v>0.41295205132276669</v>
      </c>
      <c r="J127" s="124"/>
      <c r="K127" s="124"/>
      <c r="L127" s="135"/>
      <c r="N127" s="135"/>
      <c r="P127" s="135"/>
    </row>
    <row r="128" spans="1:16">
      <c r="A128" s="122" t="s">
        <v>90</v>
      </c>
      <c r="B128" s="142"/>
      <c r="C128" s="318"/>
      <c r="D128" s="264">
        <v>699</v>
      </c>
      <c r="E128" s="324">
        <f t="shared" si="10"/>
        <v>0.11650000000000001</v>
      </c>
      <c r="F128" s="264">
        <v>591.21995265486601</v>
      </c>
      <c r="G128" s="324">
        <f t="shared" si="11"/>
        <v>8.9990185205023443E-2</v>
      </c>
      <c r="H128" s="265">
        <v>678.88356658813996</v>
      </c>
      <c r="I128" s="324">
        <f t="shared" si="12"/>
        <v>9.392452926479429E-2</v>
      </c>
      <c r="J128" s="124"/>
      <c r="K128" s="124"/>
      <c r="L128" s="135"/>
      <c r="N128" s="135"/>
      <c r="P128" s="135"/>
    </row>
    <row r="129" spans="1:16">
      <c r="A129" s="122" t="s">
        <v>91</v>
      </c>
      <c r="B129" s="143"/>
      <c r="C129" s="318"/>
      <c r="D129" s="264">
        <v>201</v>
      </c>
      <c r="E129" s="324">
        <f t="shared" si="10"/>
        <v>3.3500000000000002E-2</v>
      </c>
      <c r="F129" s="264">
        <v>413.71136847182697</v>
      </c>
      <c r="G129" s="324">
        <f t="shared" si="11"/>
        <v>6.2971424599292891E-2</v>
      </c>
      <c r="H129" s="265">
        <v>457.53986031654398</v>
      </c>
      <c r="I129" s="324">
        <f t="shared" si="12"/>
        <v>6.3301305430158397E-2</v>
      </c>
      <c r="J129" s="124"/>
      <c r="K129" s="124"/>
      <c r="L129" s="135"/>
      <c r="N129" s="135"/>
      <c r="P129" s="135"/>
    </row>
    <row r="130" spans="1:16">
      <c r="A130" s="122" t="s">
        <v>92</v>
      </c>
      <c r="B130" s="143"/>
      <c r="C130" s="318"/>
      <c r="D130" s="264">
        <v>0</v>
      </c>
      <c r="E130" s="324">
        <f t="shared" si="10"/>
        <v>0</v>
      </c>
      <c r="F130" s="264">
        <v>0</v>
      </c>
      <c r="G130" s="324">
        <f t="shared" si="11"/>
        <v>0</v>
      </c>
      <c r="H130" s="265">
        <v>0</v>
      </c>
      <c r="I130" s="324">
        <f t="shared" si="12"/>
        <v>0</v>
      </c>
      <c r="J130" s="124"/>
      <c r="K130" s="124"/>
      <c r="L130" s="135"/>
      <c r="N130" s="135"/>
      <c r="P130" s="135"/>
    </row>
    <row r="131" spans="1:16">
      <c r="A131" s="122" t="s">
        <v>93</v>
      </c>
      <c r="B131" s="142"/>
      <c r="C131" s="318"/>
      <c r="D131" s="264">
        <v>0</v>
      </c>
      <c r="E131" s="324">
        <f t="shared" si="10"/>
        <v>0</v>
      </c>
      <c r="F131" s="264">
        <v>0</v>
      </c>
      <c r="G131" s="324">
        <f t="shared" si="11"/>
        <v>0</v>
      </c>
      <c r="H131" s="265">
        <v>0</v>
      </c>
      <c r="I131" s="324">
        <f t="shared" si="12"/>
        <v>0</v>
      </c>
      <c r="J131" s="124"/>
      <c r="K131" s="124"/>
      <c r="L131" s="135"/>
      <c r="N131" s="135"/>
      <c r="P131" s="135"/>
    </row>
    <row r="132" spans="1:16">
      <c r="A132" s="122" t="s">
        <v>94</v>
      </c>
      <c r="B132" s="142"/>
      <c r="C132" s="319"/>
      <c r="D132" s="264">
        <v>6000</v>
      </c>
      <c r="E132" s="324">
        <f t="shared" si="10"/>
        <v>1</v>
      </c>
      <c r="F132" s="264">
        <v>6569.8270462261798</v>
      </c>
      <c r="G132" s="324">
        <f t="shared" si="11"/>
        <v>1</v>
      </c>
      <c r="H132" s="265">
        <v>7227.9687947566399</v>
      </c>
      <c r="I132" s="324">
        <f t="shared" si="12"/>
        <v>1</v>
      </c>
      <c r="K132"/>
      <c r="L132" s="135"/>
      <c r="N132" s="135"/>
      <c r="P132" s="135"/>
    </row>
    <row r="133" spans="1:16">
      <c r="A133" s="122" t="s">
        <v>95</v>
      </c>
      <c r="B133" s="143"/>
      <c r="C133" s="319"/>
      <c r="D133" s="264">
        <v>0</v>
      </c>
      <c r="E133" s="324">
        <f t="shared" si="10"/>
        <v>0</v>
      </c>
      <c r="F133" s="264">
        <v>170.094097429058</v>
      </c>
      <c r="G133" s="324">
        <f t="shared" si="11"/>
        <v>2.5890194099822298E-2</v>
      </c>
      <c r="H133" s="265">
        <v>28.156299096402702</v>
      </c>
      <c r="I133" s="324">
        <f t="shared" si="12"/>
        <v>3.8954649495482087E-3</v>
      </c>
      <c r="K133"/>
      <c r="L133" s="135"/>
      <c r="N133" s="135"/>
      <c r="P133" s="135"/>
    </row>
    <row r="134" spans="1:16" ht="14.25" thickBot="1">
      <c r="A134" s="129" t="s">
        <v>124</v>
      </c>
      <c r="B134" s="144"/>
      <c r="C134" s="320"/>
      <c r="D134" s="266">
        <v>6000</v>
      </c>
      <c r="E134" s="325">
        <f t="shared" si="10"/>
        <v>1</v>
      </c>
      <c r="F134" s="266">
        <v>6399.7329487971201</v>
      </c>
      <c r="G134" s="325">
        <f t="shared" si="11"/>
        <v>0.97410980590017748</v>
      </c>
      <c r="H134" s="267">
        <v>7199.8124956602296</v>
      </c>
      <c r="I134" s="325">
        <f t="shared" si="12"/>
        <v>0.99610453505045071</v>
      </c>
      <c r="K134"/>
      <c r="L134" s="135"/>
      <c r="N134" s="135"/>
      <c r="P134" s="135"/>
    </row>
  </sheetData>
  <mergeCells count="19">
    <mergeCell ref="D122:E122"/>
    <mergeCell ref="K66:M67"/>
    <mergeCell ref="K86:M87"/>
    <mergeCell ref="K43:M44"/>
    <mergeCell ref="K35:M36"/>
    <mergeCell ref="H122:I122"/>
    <mergeCell ref="F122:G122"/>
    <mergeCell ref="H106:L110"/>
    <mergeCell ref="K14:M15"/>
    <mergeCell ref="A1:M1"/>
    <mergeCell ref="H101:L105"/>
    <mergeCell ref="A10:C10"/>
    <mergeCell ref="A18:C18"/>
    <mergeCell ref="K3:L3"/>
    <mergeCell ref="K4:L4"/>
    <mergeCell ref="K5:L5"/>
    <mergeCell ref="I5:J5"/>
    <mergeCell ref="I4:J4"/>
    <mergeCell ref="I3:J3"/>
  </mergeCells>
  <phoneticPr fontId="9"/>
  <conditionalFormatting sqref="F124:F134 H124:H134">
    <cfRule type="containsBlanks" dxfId="1" priority="2">
      <formula>LEN(TRIM(F124))=0</formula>
    </cfRule>
  </conditionalFormatting>
  <conditionalFormatting sqref="G124:G134 I124:I134">
    <cfRule type="cellIs" dxfId="0" priority="1" operator="equal">
      <formula>"－"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portrait" verticalDpi="0" r:id="rId1"/>
  <headerFooter>
    <oddFooter>&amp;C&amp;P</oddFooter>
  </headerFooter>
  <rowBreaks count="1" manualBreakCount="1">
    <brk id="80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47"/>
  <sheetViews>
    <sheetView view="pageBreakPreview" zoomScale="85" zoomScaleNormal="100" zoomScaleSheetLayoutView="85" workbookViewId="0">
      <selection activeCell="N1" sqref="N1"/>
    </sheetView>
  </sheetViews>
  <sheetFormatPr defaultRowHeight="13.5"/>
  <cols>
    <col min="1" max="1" width="9" style="50"/>
    <col min="2" max="2" width="42.125" style="50" bestFit="1" customWidth="1"/>
    <col min="3" max="3" width="15.375" style="50" customWidth="1"/>
    <col min="4" max="14" width="11.125" style="50" customWidth="1"/>
    <col min="15" max="16384" width="9" style="50"/>
  </cols>
  <sheetData>
    <row r="1" spans="1:16" ht="14.25">
      <c r="A1" s="229" t="s">
        <v>80</v>
      </c>
      <c r="K1" s="230"/>
      <c r="L1" s="231"/>
    </row>
    <row r="2" spans="1:16" ht="15" thickBot="1">
      <c r="A2" s="229"/>
      <c r="K2" s="230" t="s">
        <v>108</v>
      </c>
      <c r="L2" s="231" t="str">
        <f>'1_推計値サマリ'!L2</f>
        <v>2018/03/06</v>
      </c>
    </row>
    <row r="3" spans="1:16" s="135" customFormat="1" ht="14.25" thickBot="1">
      <c r="A3" s="50"/>
      <c r="B3" s="50"/>
      <c r="C3" s="50"/>
      <c r="D3" s="50"/>
      <c r="E3" s="50"/>
      <c r="F3" s="50"/>
      <c r="G3" s="50"/>
      <c r="H3" s="50"/>
      <c r="I3" s="774" t="s">
        <v>74</v>
      </c>
      <c r="J3" s="775"/>
      <c r="K3" s="778" t="str">
        <f>'1_推計値サマリ'!K3:L3</f>
        <v>珠洲市</v>
      </c>
      <c r="L3" s="779"/>
      <c r="M3" s="50"/>
    </row>
    <row r="4" spans="1:16" s="135" customFormat="1" ht="14.25" thickBot="1">
      <c r="A4" s="50"/>
      <c r="B4" s="50"/>
      <c r="C4" s="50"/>
      <c r="D4" s="50"/>
      <c r="E4" s="50"/>
      <c r="F4" s="50"/>
      <c r="G4" s="50"/>
      <c r="H4" s="50"/>
      <c r="I4" s="774" t="s">
        <v>75</v>
      </c>
      <c r="J4" s="775"/>
      <c r="K4" s="768" t="str">
        <f>'1_推計値サマリ'!K4:L4</f>
        <v>17205</v>
      </c>
      <c r="L4" s="780"/>
      <c r="M4" s="50"/>
    </row>
    <row r="5" spans="1:16" s="135" customFormat="1" ht="31.5" customHeight="1" thickBot="1">
      <c r="A5" s="50"/>
      <c r="B5" s="50"/>
      <c r="C5" s="50"/>
      <c r="D5" s="50"/>
      <c r="E5" s="50"/>
      <c r="F5" s="50"/>
      <c r="G5" s="50"/>
      <c r="H5" s="50"/>
      <c r="I5" s="772" t="s">
        <v>109</v>
      </c>
      <c r="J5" s="773"/>
      <c r="K5" s="770" t="str">
        <f>'1_推計値サマリ'!K5:L5</f>
        <v>第７期珠洲市介護保険事業計画</v>
      </c>
      <c r="L5" s="779"/>
      <c r="M5" s="50"/>
    </row>
    <row r="8" spans="1:16">
      <c r="A8" s="138" t="s">
        <v>99</v>
      </c>
      <c r="B8" s="53"/>
    </row>
    <row r="9" spans="1:16" ht="14.25" thickBot="1">
      <c r="B9" s="53"/>
      <c r="L9" s="140" t="s">
        <v>116</v>
      </c>
    </row>
    <row r="10" spans="1:16" ht="23.25" thickBot="1">
      <c r="A10" s="110"/>
      <c r="B10" s="111"/>
      <c r="C10" s="112"/>
      <c r="D10" s="147" t="s">
        <v>105</v>
      </c>
      <c r="E10" s="132" t="s">
        <v>106</v>
      </c>
      <c r="F10" s="156" t="s">
        <v>2</v>
      </c>
      <c r="G10" s="107" t="s">
        <v>72</v>
      </c>
      <c r="H10" s="132" t="s">
        <v>73</v>
      </c>
      <c r="I10" s="132" t="s">
        <v>3</v>
      </c>
      <c r="J10" s="190" t="s">
        <v>110</v>
      </c>
      <c r="K10" s="107" t="s">
        <v>107</v>
      </c>
      <c r="L10" s="191" t="s">
        <v>111</v>
      </c>
    </row>
    <row r="11" spans="1:16">
      <c r="A11" s="54" t="s">
        <v>18</v>
      </c>
      <c r="B11" s="102"/>
      <c r="C11" s="113"/>
      <c r="D11" s="157"/>
      <c r="E11" s="161"/>
      <c r="F11" s="159"/>
      <c r="G11" s="88"/>
      <c r="H11" s="51"/>
      <c r="I11" s="51"/>
      <c r="J11" s="89"/>
      <c r="K11" s="88"/>
      <c r="L11" s="49"/>
    </row>
    <row r="12" spans="1:16">
      <c r="A12" s="56"/>
      <c r="B12" s="784" t="s">
        <v>19</v>
      </c>
      <c r="C12" s="57" t="s">
        <v>20</v>
      </c>
      <c r="D12" s="291">
        <v>11922.754000000001</v>
      </c>
      <c r="E12" s="269">
        <v>10726.494000000001</v>
      </c>
      <c r="F12" s="292">
        <v>9951.2734805555556</v>
      </c>
      <c r="G12" s="149"/>
      <c r="H12" s="150"/>
      <c r="I12" s="150"/>
      <c r="J12" s="184"/>
      <c r="K12" s="149"/>
      <c r="L12" s="151"/>
    </row>
    <row r="13" spans="1:16">
      <c r="A13" s="56"/>
      <c r="B13" s="785"/>
      <c r="C13" s="57" t="s">
        <v>21</v>
      </c>
      <c r="D13" s="291">
        <v>45.333333333333336</v>
      </c>
      <c r="E13" s="269">
        <v>40.583333333333336</v>
      </c>
      <c r="F13" s="292">
        <v>35.188194444444441</v>
      </c>
      <c r="G13" s="152"/>
      <c r="H13" s="153"/>
      <c r="I13" s="153"/>
      <c r="J13" s="185"/>
      <c r="K13" s="152"/>
      <c r="L13" s="154"/>
    </row>
    <row r="14" spans="1:16">
      <c r="A14" s="56"/>
      <c r="B14" s="784" t="s">
        <v>22</v>
      </c>
      <c r="C14" s="57" t="s">
        <v>20</v>
      </c>
      <c r="D14" s="291">
        <v>408.25</v>
      </c>
      <c r="E14" s="269">
        <v>0</v>
      </c>
      <c r="F14" s="292">
        <v>0</v>
      </c>
      <c r="G14" s="268">
        <v>0</v>
      </c>
      <c r="H14" s="269">
        <v>0</v>
      </c>
      <c r="I14" s="269">
        <v>0</v>
      </c>
      <c r="J14" s="363" t="str">
        <f t="shared" ref="J14:J24" si="0">IFERROR(SUM(G14:I14)/3/F14,"－")</f>
        <v>－</v>
      </c>
      <c r="K14" s="268">
        <v>0</v>
      </c>
      <c r="L14" s="365" t="str">
        <f t="shared" ref="L14:L24" si="1">IFERROR(K14/F14,"－")</f>
        <v>－</v>
      </c>
      <c r="N14" s="135"/>
      <c r="P14" s="135"/>
    </row>
    <row r="15" spans="1:16">
      <c r="A15" s="56"/>
      <c r="B15" s="786"/>
      <c r="C15" s="57" t="s">
        <v>23</v>
      </c>
      <c r="D15" s="293">
        <v>3.8333333333333335</v>
      </c>
      <c r="E15" s="271">
        <v>0</v>
      </c>
      <c r="F15" s="294">
        <v>0</v>
      </c>
      <c r="G15" s="270">
        <v>0</v>
      </c>
      <c r="H15" s="271">
        <v>0</v>
      </c>
      <c r="I15" s="271">
        <v>0</v>
      </c>
      <c r="J15" s="363" t="str">
        <f t="shared" si="0"/>
        <v>－</v>
      </c>
      <c r="K15" s="270">
        <v>0</v>
      </c>
      <c r="L15" s="365" t="str">
        <f t="shared" si="1"/>
        <v>－</v>
      </c>
      <c r="N15" s="135"/>
      <c r="P15" s="135"/>
    </row>
    <row r="16" spans="1:16">
      <c r="A16" s="56"/>
      <c r="B16" s="189"/>
      <c r="C16" s="57" t="s">
        <v>21</v>
      </c>
      <c r="D16" s="291">
        <v>1</v>
      </c>
      <c r="E16" s="269">
        <v>0</v>
      </c>
      <c r="F16" s="292">
        <v>0</v>
      </c>
      <c r="G16" s="268">
        <v>0</v>
      </c>
      <c r="H16" s="269">
        <v>0</v>
      </c>
      <c r="I16" s="269">
        <v>0</v>
      </c>
      <c r="J16" s="363" t="str">
        <f t="shared" si="0"/>
        <v>－</v>
      </c>
      <c r="K16" s="268">
        <v>0</v>
      </c>
      <c r="L16" s="365" t="str">
        <f t="shared" si="1"/>
        <v>－</v>
      </c>
      <c r="N16" s="135"/>
      <c r="P16" s="135"/>
    </row>
    <row r="17" spans="1:16">
      <c r="A17" s="56"/>
      <c r="B17" s="784" t="s">
        <v>24</v>
      </c>
      <c r="C17" s="57" t="s">
        <v>20</v>
      </c>
      <c r="D17" s="291">
        <v>1660.4469999999999</v>
      </c>
      <c r="E17" s="269">
        <v>1330.278</v>
      </c>
      <c r="F17" s="292">
        <v>1292.9660000000001</v>
      </c>
      <c r="G17" s="272">
        <v>1470</v>
      </c>
      <c r="H17" s="273">
        <v>1471</v>
      </c>
      <c r="I17" s="273">
        <v>1471</v>
      </c>
      <c r="J17" s="364">
        <f t="shared" si="0"/>
        <v>1.1374364574680746</v>
      </c>
      <c r="K17" s="272">
        <v>1471</v>
      </c>
      <c r="L17" s="366">
        <f t="shared" si="1"/>
        <v>1.1376942626488245</v>
      </c>
      <c r="N17" s="135"/>
      <c r="P17" s="135"/>
    </row>
    <row r="18" spans="1:16">
      <c r="A18" s="56"/>
      <c r="B18" s="786"/>
      <c r="C18" s="57" t="s">
        <v>23</v>
      </c>
      <c r="D18" s="293">
        <v>16.416666666666668</v>
      </c>
      <c r="E18" s="271">
        <v>13.75</v>
      </c>
      <c r="F18" s="294">
        <v>14.685606060606061</v>
      </c>
      <c r="G18" s="270">
        <v>16</v>
      </c>
      <c r="H18" s="271">
        <v>16</v>
      </c>
      <c r="I18" s="271">
        <v>16</v>
      </c>
      <c r="J18" s="631">
        <f t="shared" si="0"/>
        <v>1.0895021924168171</v>
      </c>
      <c r="K18" s="270">
        <v>16</v>
      </c>
      <c r="L18" s="365">
        <f t="shared" si="1"/>
        <v>1.0895021924168171</v>
      </c>
      <c r="N18" s="135"/>
      <c r="P18" s="135"/>
    </row>
    <row r="19" spans="1:16">
      <c r="A19" s="56"/>
      <c r="B19" s="189"/>
      <c r="C19" s="57" t="s">
        <v>21</v>
      </c>
      <c r="D19" s="291">
        <v>2.75</v>
      </c>
      <c r="E19" s="269">
        <v>2.75</v>
      </c>
      <c r="F19" s="292">
        <v>5.45</v>
      </c>
      <c r="G19" s="268">
        <v>3</v>
      </c>
      <c r="H19" s="269">
        <v>3</v>
      </c>
      <c r="I19" s="269">
        <v>3</v>
      </c>
      <c r="J19" s="363">
        <f t="shared" si="0"/>
        <v>0.55045871559633031</v>
      </c>
      <c r="K19" s="268">
        <v>3</v>
      </c>
      <c r="L19" s="365">
        <f t="shared" si="1"/>
        <v>0.55045871559633031</v>
      </c>
      <c r="N19" s="135"/>
      <c r="P19" s="135"/>
    </row>
    <row r="20" spans="1:16">
      <c r="A20" s="56"/>
      <c r="B20" s="784" t="s">
        <v>25</v>
      </c>
      <c r="C20" s="57" t="s">
        <v>20</v>
      </c>
      <c r="D20" s="291">
        <v>0</v>
      </c>
      <c r="E20" s="269">
        <v>0</v>
      </c>
      <c r="F20" s="292">
        <v>0</v>
      </c>
      <c r="G20" s="272">
        <v>0</v>
      </c>
      <c r="H20" s="273">
        <v>0</v>
      </c>
      <c r="I20" s="273">
        <v>0</v>
      </c>
      <c r="J20" s="364" t="str">
        <f t="shared" si="0"/>
        <v>－</v>
      </c>
      <c r="K20" s="272">
        <v>0</v>
      </c>
      <c r="L20" s="366" t="str">
        <f t="shared" si="1"/>
        <v>－</v>
      </c>
      <c r="N20" s="135"/>
      <c r="P20" s="135"/>
    </row>
    <row r="21" spans="1:16">
      <c r="A21" s="56"/>
      <c r="B21" s="786"/>
      <c r="C21" s="57" t="s">
        <v>23</v>
      </c>
      <c r="D21" s="293">
        <v>0</v>
      </c>
      <c r="E21" s="271">
        <v>0</v>
      </c>
      <c r="F21" s="294">
        <v>0</v>
      </c>
      <c r="G21" s="270">
        <v>0</v>
      </c>
      <c r="H21" s="271">
        <v>0</v>
      </c>
      <c r="I21" s="271">
        <v>0</v>
      </c>
      <c r="J21" s="363" t="str">
        <f t="shared" si="0"/>
        <v>－</v>
      </c>
      <c r="K21" s="270">
        <v>0</v>
      </c>
      <c r="L21" s="365" t="str">
        <f t="shared" si="1"/>
        <v>－</v>
      </c>
      <c r="N21" s="135"/>
      <c r="P21" s="135"/>
    </row>
    <row r="22" spans="1:16">
      <c r="A22" s="56"/>
      <c r="B22" s="189"/>
      <c r="C22" s="57" t="s">
        <v>21</v>
      </c>
      <c r="D22" s="291">
        <v>0</v>
      </c>
      <c r="E22" s="269">
        <v>0</v>
      </c>
      <c r="F22" s="292">
        <v>0</v>
      </c>
      <c r="G22" s="268">
        <v>0</v>
      </c>
      <c r="H22" s="269">
        <v>0</v>
      </c>
      <c r="I22" s="269">
        <v>0</v>
      </c>
      <c r="J22" s="363" t="str">
        <f t="shared" si="0"/>
        <v>－</v>
      </c>
      <c r="K22" s="268">
        <v>0</v>
      </c>
      <c r="L22" s="365" t="str">
        <f t="shared" si="1"/>
        <v>－</v>
      </c>
      <c r="N22" s="135"/>
      <c r="P22" s="135"/>
    </row>
    <row r="23" spans="1:16">
      <c r="A23" s="56"/>
      <c r="B23" s="784" t="s">
        <v>26</v>
      </c>
      <c r="C23" s="57" t="s">
        <v>20</v>
      </c>
      <c r="D23" s="291">
        <v>0</v>
      </c>
      <c r="E23" s="269">
        <v>9.0540000000000003</v>
      </c>
      <c r="F23" s="292">
        <v>0</v>
      </c>
      <c r="G23" s="272">
        <v>0</v>
      </c>
      <c r="H23" s="273">
        <v>0</v>
      </c>
      <c r="I23" s="273">
        <v>0</v>
      </c>
      <c r="J23" s="364" t="str">
        <f t="shared" si="0"/>
        <v>－</v>
      </c>
      <c r="K23" s="272">
        <v>0</v>
      </c>
      <c r="L23" s="366" t="str">
        <f t="shared" si="1"/>
        <v>－</v>
      </c>
      <c r="N23" s="135"/>
      <c r="P23" s="135"/>
    </row>
    <row r="24" spans="1:16">
      <c r="A24" s="56"/>
      <c r="B24" s="785"/>
      <c r="C24" s="57" t="s">
        <v>21</v>
      </c>
      <c r="D24" s="291">
        <v>0</v>
      </c>
      <c r="E24" s="269">
        <v>8.3333333333333329E-2</v>
      </c>
      <c r="F24" s="292">
        <v>0</v>
      </c>
      <c r="G24" s="268">
        <v>0</v>
      </c>
      <c r="H24" s="269">
        <v>0</v>
      </c>
      <c r="I24" s="269">
        <v>0</v>
      </c>
      <c r="J24" s="363" t="str">
        <f t="shared" si="0"/>
        <v>－</v>
      </c>
      <c r="K24" s="268">
        <v>0</v>
      </c>
      <c r="L24" s="365" t="str">
        <f t="shared" si="1"/>
        <v>－</v>
      </c>
      <c r="N24" s="135"/>
      <c r="P24" s="135"/>
    </row>
    <row r="25" spans="1:16">
      <c r="A25" s="56"/>
      <c r="B25" s="784" t="s">
        <v>27</v>
      </c>
      <c r="C25" s="57" t="s">
        <v>20</v>
      </c>
      <c r="D25" s="291">
        <v>45582.533000000003</v>
      </c>
      <c r="E25" s="269">
        <v>42233.353090909091</v>
      </c>
      <c r="F25" s="292">
        <v>34821.065622770431</v>
      </c>
      <c r="G25" s="186"/>
      <c r="H25" s="187"/>
      <c r="I25" s="187"/>
      <c r="J25" s="326"/>
      <c r="K25" s="186"/>
      <c r="L25" s="329"/>
    </row>
    <row r="26" spans="1:16">
      <c r="A26" s="56"/>
      <c r="B26" s="788"/>
      <c r="C26" s="57" t="s">
        <v>21</v>
      </c>
      <c r="D26" s="291">
        <v>145.33333333333334</v>
      </c>
      <c r="E26" s="269">
        <v>134.09090909090909</v>
      </c>
      <c r="F26" s="292">
        <v>110.71470109312138</v>
      </c>
      <c r="G26" s="152"/>
      <c r="H26" s="153"/>
      <c r="I26" s="153"/>
      <c r="J26" s="327"/>
      <c r="K26" s="152"/>
      <c r="L26" s="330"/>
    </row>
    <row r="27" spans="1:16">
      <c r="A27" s="56"/>
      <c r="B27" s="784" t="s">
        <v>28</v>
      </c>
      <c r="C27" s="57" t="s">
        <v>20</v>
      </c>
      <c r="D27" s="291">
        <v>14153.942999999999</v>
      </c>
      <c r="E27" s="269">
        <v>12601.962</v>
      </c>
      <c r="F27" s="292">
        <v>12983.201529411765</v>
      </c>
      <c r="G27" s="272">
        <v>12774</v>
      </c>
      <c r="H27" s="273">
        <v>12780</v>
      </c>
      <c r="I27" s="273">
        <v>12780</v>
      </c>
      <c r="J27" s="364">
        <f t="shared" ref="J27:J34" si="2">IFERROR(SUM(G27:I27)/3/F27,"－")</f>
        <v>0.98419484370269483</v>
      </c>
      <c r="K27" s="272">
        <v>11018</v>
      </c>
      <c r="L27" s="366">
        <f t="shared" ref="L27:L34" si="3">IFERROR(K27/F27,"－")</f>
        <v>0.8486350593141565</v>
      </c>
      <c r="N27" s="135"/>
      <c r="P27" s="135"/>
    </row>
    <row r="28" spans="1:16">
      <c r="A28" s="56"/>
      <c r="B28" s="785"/>
      <c r="C28" s="57" t="s">
        <v>21</v>
      </c>
      <c r="D28" s="291">
        <v>40.25</v>
      </c>
      <c r="E28" s="269">
        <v>37.416666666666664</v>
      </c>
      <c r="F28" s="292">
        <v>38.21078431372549</v>
      </c>
      <c r="G28" s="268">
        <v>38</v>
      </c>
      <c r="H28" s="269">
        <v>38</v>
      </c>
      <c r="I28" s="269">
        <v>38</v>
      </c>
      <c r="J28" s="363">
        <f t="shared" si="2"/>
        <v>0.99448364336112893</v>
      </c>
      <c r="K28" s="268">
        <v>33</v>
      </c>
      <c r="L28" s="365">
        <f t="shared" si="3"/>
        <v>0.86363053239255938</v>
      </c>
      <c r="N28" s="135"/>
      <c r="P28" s="135"/>
    </row>
    <row r="29" spans="1:16">
      <c r="A29" s="56"/>
      <c r="B29" s="784" t="s">
        <v>29</v>
      </c>
      <c r="C29" s="57" t="s">
        <v>20</v>
      </c>
      <c r="D29" s="291">
        <v>1350.3330000000001</v>
      </c>
      <c r="E29" s="269">
        <v>1906.72</v>
      </c>
      <c r="F29" s="292">
        <v>4800.7685853658541</v>
      </c>
      <c r="G29" s="272">
        <v>2348</v>
      </c>
      <c r="H29" s="273">
        <v>2349</v>
      </c>
      <c r="I29" s="273">
        <v>2349</v>
      </c>
      <c r="J29" s="364">
        <f t="shared" si="2"/>
        <v>0.48922721953857329</v>
      </c>
      <c r="K29" s="272">
        <v>1992</v>
      </c>
      <c r="L29" s="366">
        <f t="shared" si="3"/>
        <v>0.41493356002874171</v>
      </c>
      <c r="N29" s="135"/>
      <c r="P29" s="135"/>
    </row>
    <row r="30" spans="1:16">
      <c r="A30" s="56"/>
      <c r="B30" s="786"/>
      <c r="C30" s="57" t="s">
        <v>30</v>
      </c>
      <c r="D30" s="293">
        <v>17.916666666666668</v>
      </c>
      <c r="E30" s="271">
        <v>24.666666666666668</v>
      </c>
      <c r="F30" s="294">
        <v>54.585365853658537</v>
      </c>
      <c r="G30" s="270">
        <v>28.7</v>
      </c>
      <c r="H30" s="271">
        <v>28.7</v>
      </c>
      <c r="I30" s="271">
        <v>28.7</v>
      </c>
      <c r="J30" s="363">
        <f t="shared" si="2"/>
        <v>0.52578194816800716</v>
      </c>
      <c r="K30" s="270">
        <v>24.7</v>
      </c>
      <c r="L30" s="365">
        <f t="shared" si="3"/>
        <v>0.45250223413762286</v>
      </c>
      <c r="N30" s="135"/>
      <c r="P30" s="135"/>
    </row>
    <row r="31" spans="1:16">
      <c r="A31" s="56"/>
      <c r="B31" s="188"/>
      <c r="C31" s="57" t="s">
        <v>21</v>
      </c>
      <c r="D31" s="291">
        <v>5.75</v>
      </c>
      <c r="E31" s="269">
        <v>7.333333333333333</v>
      </c>
      <c r="F31" s="292">
        <v>10.18452380952381</v>
      </c>
      <c r="G31" s="268">
        <v>8</v>
      </c>
      <c r="H31" s="269">
        <v>8</v>
      </c>
      <c r="I31" s="269">
        <v>8</v>
      </c>
      <c r="J31" s="363">
        <f t="shared" si="2"/>
        <v>0.78550555230859143</v>
      </c>
      <c r="K31" s="268">
        <v>7</v>
      </c>
      <c r="L31" s="365">
        <f t="shared" si="3"/>
        <v>0.6873173582700175</v>
      </c>
      <c r="N31" s="135"/>
      <c r="P31" s="135"/>
    </row>
    <row r="32" spans="1:16">
      <c r="A32" s="56"/>
      <c r="B32" s="781" t="s">
        <v>31</v>
      </c>
      <c r="C32" s="57" t="s">
        <v>20</v>
      </c>
      <c r="D32" s="291">
        <v>1169.425</v>
      </c>
      <c r="E32" s="269">
        <v>536.62800000000004</v>
      </c>
      <c r="F32" s="292">
        <v>472.342375</v>
      </c>
      <c r="G32" s="272">
        <v>938</v>
      </c>
      <c r="H32" s="273">
        <v>939</v>
      </c>
      <c r="I32" s="273">
        <v>939</v>
      </c>
      <c r="J32" s="364">
        <f t="shared" si="2"/>
        <v>1.9872590653478139</v>
      </c>
      <c r="K32" s="272">
        <v>626</v>
      </c>
      <c r="L32" s="366">
        <f t="shared" si="3"/>
        <v>1.3253098454272709</v>
      </c>
      <c r="N32" s="135"/>
      <c r="P32" s="135"/>
    </row>
    <row r="33" spans="1:16">
      <c r="A33" s="56"/>
      <c r="B33" s="787"/>
      <c r="C33" s="57" t="s">
        <v>30</v>
      </c>
      <c r="D33" s="293">
        <v>11.583333333333334</v>
      </c>
      <c r="E33" s="271">
        <v>5.25</v>
      </c>
      <c r="F33" s="294">
        <v>4.552083333333333</v>
      </c>
      <c r="G33" s="270">
        <v>9</v>
      </c>
      <c r="H33" s="271">
        <v>9</v>
      </c>
      <c r="I33" s="271">
        <v>9</v>
      </c>
      <c r="J33" s="363">
        <f t="shared" si="2"/>
        <v>1.9771167048054921</v>
      </c>
      <c r="K33" s="270">
        <v>6</v>
      </c>
      <c r="L33" s="365">
        <f t="shared" si="3"/>
        <v>1.3180778032036613</v>
      </c>
      <c r="N33" s="135"/>
      <c r="P33" s="135"/>
    </row>
    <row r="34" spans="1:16">
      <c r="A34" s="56"/>
      <c r="B34" s="189"/>
      <c r="C34" s="57" t="s">
        <v>21</v>
      </c>
      <c r="D34" s="291">
        <v>3.9166666666666665</v>
      </c>
      <c r="E34" s="269">
        <v>2.0833333333333335</v>
      </c>
      <c r="F34" s="292">
        <v>1.4666666666666668</v>
      </c>
      <c r="G34" s="268">
        <v>3</v>
      </c>
      <c r="H34" s="269">
        <v>3</v>
      </c>
      <c r="I34" s="269">
        <v>3</v>
      </c>
      <c r="J34" s="363">
        <f t="shared" si="2"/>
        <v>2.0454545454545454</v>
      </c>
      <c r="K34" s="268">
        <v>3</v>
      </c>
      <c r="L34" s="365">
        <f t="shared" si="3"/>
        <v>2.0454545454545454</v>
      </c>
      <c r="N34" s="135"/>
      <c r="P34" s="135"/>
    </row>
    <row r="35" spans="1:16">
      <c r="A35" s="56"/>
      <c r="B35" s="781" t="s">
        <v>32</v>
      </c>
      <c r="C35" s="57" t="s">
        <v>20</v>
      </c>
      <c r="D35" s="291">
        <v>707.03499999999997</v>
      </c>
      <c r="E35" s="269">
        <v>55.375999999999998</v>
      </c>
      <c r="F35" s="292">
        <v>0</v>
      </c>
      <c r="G35" s="272">
        <v>0</v>
      </c>
      <c r="H35" s="273">
        <v>0</v>
      </c>
      <c r="I35" s="273">
        <v>0</v>
      </c>
      <c r="J35" s="363" t="str">
        <f t="shared" ref="J35:J43" si="4">IFERROR(SUM(G35:I35)/3/F35,"－")</f>
        <v>－</v>
      </c>
      <c r="K35" s="272">
        <v>0</v>
      </c>
      <c r="L35" s="365" t="str">
        <f t="shared" ref="L35:L44" si="5">IFERROR(K35/F35,"－")</f>
        <v>－</v>
      </c>
      <c r="N35" s="135"/>
      <c r="P35" s="135"/>
    </row>
    <row r="36" spans="1:16">
      <c r="A36" s="56"/>
      <c r="B36" s="787"/>
      <c r="C36" s="57" t="s">
        <v>30</v>
      </c>
      <c r="D36" s="293">
        <v>9.3333333333333339</v>
      </c>
      <c r="E36" s="271">
        <v>0.66666666666666663</v>
      </c>
      <c r="F36" s="294">
        <v>0</v>
      </c>
      <c r="G36" s="270">
        <v>0</v>
      </c>
      <c r="H36" s="271">
        <v>0</v>
      </c>
      <c r="I36" s="271">
        <v>0</v>
      </c>
      <c r="J36" s="363" t="str">
        <f t="shared" si="4"/>
        <v>－</v>
      </c>
      <c r="K36" s="270">
        <v>0</v>
      </c>
      <c r="L36" s="365" t="str">
        <f t="shared" si="5"/>
        <v>－</v>
      </c>
      <c r="N36" s="135"/>
      <c r="P36" s="135"/>
    </row>
    <row r="37" spans="1:16">
      <c r="A37" s="56"/>
      <c r="B37" s="103"/>
      <c r="C37" s="57" t="s">
        <v>21</v>
      </c>
      <c r="D37" s="291">
        <v>1.5</v>
      </c>
      <c r="E37" s="269">
        <v>8.3333333333333329E-2</v>
      </c>
      <c r="F37" s="292">
        <v>0</v>
      </c>
      <c r="G37" s="268">
        <v>0</v>
      </c>
      <c r="H37" s="269">
        <v>0</v>
      </c>
      <c r="I37" s="269">
        <v>0</v>
      </c>
      <c r="J37" s="363" t="str">
        <f t="shared" si="4"/>
        <v>－</v>
      </c>
      <c r="K37" s="268">
        <v>0</v>
      </c>
      <c r="L37" s="365" t="str">
        <f t="shared" si="5"/>
        <v>－</v>
      </c>
      <c r="N37" s="135"/>
      <c r="P37" s="135"/>
    </row>
    <row r="38" spans="1:16">
      <c r="A38" s="56"/>
      <c r="B38" s="784" t="s">
        <v>33</v>
      </c>
      <c r="C38" s="57" t="s">
        <v>20</v>
      </c>
      <c r="D38" s="291">
        <v>1849.0909999999999</v>
      </c>
      <c r="E38" s="269">
        <v>2054.7919999999999</v>
      </c>
      <c r="F38" s="292">
        <v>2800.7055999999998</v>
      </c>
      <c r="G38" s="272">
        <v>2323</v>
      </c>
      <c r="H38" s="273">
        <v>2323</v>
      </c>
      <c r="I38" s="273">
        <v>2323</v>
      </c>
      <c r="J38" s="363">
        <f t="shared" si="4"/>
        <v>0.82943383981522378</v>
      </c>
      <c r="K38" s="272">
        <v>2059</v>
      </c>
      <c r="L38" s="365">
        <f t="shared" si="5"/>
        <v>0.73517187954349794</v>
      </c>
      <c r="N38" s="135"/>
      <c r="P38" s="135"/>
    </row>
    <row r="39" spans="1:16">
      <c r="A39" s="56"/>
      <c r="B39" s="785"/>
      <c r="C39" s="57" t="s">
        <v>21</v>
      </c>
      <c r="D39" s="291">
        <v>37.25</v>
      </c>
      <c r="E39" s="269">
        <v>44.916666666666664</v>
      </c>
      <c r="F39" s="292">
        <v>56.05</v>
      </c>
      <c r="G39" s="268">
        <v>47</v>
      </c>
      <c r="H39" s="269">
        <v>47</v>
      </c>
      <c r="I39" s="269">
        <v>47</v>
      </c>
      <c r="J39" s="363">
        <f t="shared" si="4"/>
        <v>0.8385370205173952</v>
      </c>
      <c r="K39" s="268">
        <v>42</v>
      </c>
      <c r="L39" s="365">
        <f t="shared" si="5"/>
        <v>0.74933095450490639</v>
      </c>
      <c r="N39" s="135"/>
      <c r="P39" s="135"/>
    </row>
    <row r="40" spans="1:16">
      <c r="A40" s="56"/>
      <c r="B40" s="784" t="s">
        <v>34</v>
      </c>
      <c r="C40" s="57" t="s">
        <v>20</v>
      </c>
      <c r="D40" s="291">
        <v>207.26</v>
      </c>
      <c r="E40" s="269">
        <v>463.911</v>
      </c>
      <c r="F40" s="292">
        <v>301.21408333333335</v>
      </c>
      <c r="G40" s="272">
        <v>454</v>
      </c>
      <c r="H40" s="273">
        <v>454</v>
      </c>
      <c r="I40" s="273">
        <v>454</v>
      </c>
      <c r="J40" s="363">
        <f t="shared" si="4"/>
        <v>1.5072336425172683</v>
      </c>
      <c r="K40" s="272">
        <v>454</v>
      </c>
      <c r="L40" s="365">
        <f t="shared" si="5"/>
        <v>1.5072336425172683</v>
      </c>
      <c r="N40" s="135"/>
      <c r="P40" s="135"/>
    </row>
    <row r="41" spans="1:16">
      <c r="A41" s="56"/>
      <c r="B41" s="785"/>
      <c r="C41" s="57" t="s">
        <v>21</v>
      </c>
      <c r="D41" s="291">
        <v>1.1666666666666667</v>
      </c>
      <c r="E41" s="269">
        <v>1.75</v>
      </c>
      <c r="F41" s="292">
        <v>1.4097222222222223</v>
      </c>
      <c r="G41" s="268">
        <v>2</v>
      </c>
      <c r="H41" s="269">
        <v>2</v>
      </c>
      <c r="I41" s="269">
        <v>2</v>
      </c>
      <c r="J41" s="363">
        <f t="shared" si="4"/>
        <v>1.4187192118226599</v>
      </c>
      <c r="K41" s="268">
        <v>2</v>
      </c>
      <c r="L41" s="365">
        <f t="shared" si="5"/>
        <v>1.4187192118226599</v>
      </c>
      <c r="N41" s="135"/>
      <c r="P41" s="135"/>
    </row>
    <row r="42" spans="1:16">
      <c r="A42" s="56"/>
      <c r="B42" s="58" t="s">
        <v>35</v>
      </c>
      <c r="C42" s="57" t="s">
        <v>20</v>
      </c>
      <c r="D42" s="291">
        <v>3737.7449999999999</v>
      </c>
      <c r="E42" s="269">
        <v>2488.6559999999999</v>
      </c>
      <c r="F42" s="292">
        <v>2644.9234285714288</v>
      </c>
      <c r="G42" s="272">
        <v>2824</v>
      </c>
      <c r="H42" s="273">
        <v>2824</v>
      </c>
      <c r="I42" s="273">
        <v>2824</v>
      </c>
      <c r="J42" s="363">
        <f t="shared" si="4"/>
        <v>1.0677057677716189</v>
      </c>
      <c r="K42" s="272">
        <v>905</v>
      </c>
      <c r="L42" s="365">
        <f t="shared" si="5"/>
        <v>0.3421649149551399</v>
      </c>
      <c r="N42" s="135"/>
      <c r="P42" s="135"/>
    </row>
    <row r="43" spans="1:16">
      <c r="A43" s="56"/>
      <c r="B43" s="59"/>
      <c r="C43" s="57" t="s">
        <v>21</v>
      </c>
      <c r="D43" s="291">
        <v>2.75</v>
      </c>
      <c r="E43" s="269">
        <v>2.3333333333333335</v>
      </c>
      <c r="F43" s="292">
        <v>2.7619047619047619</v>
      </c>
      <c r="G43" s="268">
        <v>3</v>
      </c>
      <c r="H43" s="269">
        <v>3</v>
      </c>
      <c r="I43" s="269">
        <v>3</v>
      </c>
      <c r="J43" s="363">
        <f t="shared" si="4"/>
        <v>1.0862068965517242</v>
      </c>
      <c r="K43" s="268">
        <v>1</v>
      </c>
      <c r="L43" s="365">
        <f t="shared" si="5"/>
        <v>0.36206896551724138</v>
      </c>
      <c r="N43" s="135"/>
      <c r="P43" s="135"/>
    </row>
    <row r="44" spans="1:16">
      <c r="A44" s="56"/>
      <c r="B44" s="781" t="s">
        <v>36</v>
      </c>
      <c r="C44" s="57" t="s">
        <v>20</v>
      </c>
      <c r="D44" s="291">
        <v>504.53399999999999</v>
      </c>
      <c r="E44" s="269">
        <v>800.53300000000002</v>
      </c>
      <c r="F44" s="292">
        <v>82.188000000000002</v>
      </c>
      <c r="G44" s="272">
        <v>0</v>
      </c>
      <c r="H44" s="273">
        <v>0</v>
      </c>
      <c r="I44" s="273">
        <v>0</v>
      </c>
      <c r="J44" s="364">
        <f>IFERROR(SUM(G44:I44)/3/F44,"－")</f>
        <v>0</v>
      </c>
      <c r="K44" s="272">
        <v>0</v>
      </c>
      <c r="L44" s="365">
        <f t="shared" si="5"/>
        <v>0</v>
      </c>
      <c r="N44" s="135"/>
      <c r="P44" s="135"/>
    </row>
    <row r="45" spans="1:16" ht="14.25" thickBot="1">
      <c r="A45" s="56"/>
      <c r="B45" s="783"/>
      <c r="C45" s="57" t="s">
        <v>21</v>
      </c>
      <c r="D45" s="291">
        <v>0.75</v>
      </c>
      <c r="E45" s="269">
        <v>0.75</v>
      </c>
      <c r="F45" s="292">
        <v>0.16666666666666666</v>
      </c>
      <c r="G45" s="274">
        <v>0</v>
      </c>
      <c r="H45" s="275">
        <v>0</v>
      </c>
      <c r="I45" s="275">
        <v>0</v>
      </c>
      <c r="J45" s="367">
        <f>IFERROR(SUM(G45:I45)/3/F45,"－")</f>
        <v>0</v>
      </c>
      <c r="K45" s="274">
        <v>0</v>
      </c>
      <c r="L45" s="368">
        <f>IFERROR(K45/F45,"－")</f>
        <v>0</v>
      </c>
      <c r="N45" s="135"/>
      <c r="P45" s="135"/>
    </row>
    <row r="46" spans="1:16">
      <c r="A46" s="60" t="s">
        <v>37</v>
      </c>
      <c r="B46" s="61"/>
      <c r="C46" s="62"/>
      <c r="D46" s="332"/>
      <c r="E46" s="333"/>
      <c r="F46" s="334"/>
      <c r="G46" s="335"/>
      <c r="H46" s="333"/>
      <c r="I46" s="333"/>
      <c r="J46" s="336"/>
      <c r="K46" s="335"/>
      <c r="L46" s="337"/>
    </row>
    <row r="47" spans="1:16">
      <c r="A47" s="67"/>
      <c r="B47" s="784" t="s">
        <v>38</v>
      </c>
      <c r="C47" s="57" t="s">
        <v>20</v>
      </c>
      <c r="D47" s="291">
        <v>0</v>
      </c>
      <c r="E47" s="269">
        <v>0</v>
      </c>
      <c r="F47" s="292">
        <v>0</v>
      </c>
      <c r="G47" s="272">
        <v>0</v>
      </c>
      <c r="H47" s="273">
        <v>0</v>
      </c>
      <c r="I47" s="273">
        <v>0</v>
      </c>
      <c r="J47" s="364" t="str">
        <f t="shared" ref="J47:J56" si="6">IFERROR(SUM(G47:I47)/3/F47,"－")</f>
        <v>－</v>
      </c>
      <c r="K47" s="272">
        <v>0</v>
      </c>
      <c r="L47" s="366" t="str">
        <f t="shared" ref="L47:L56" si="7">IFERROR(K47/F47,"－")</f>
        <v>－</v>
      </c>
      <c r="N47" s="135"/>
      <c r="P47" s="135"/>
    </row>
    <row r="48" spans="1:16">
      <c r="A48" s="68"/>
      <c r="B48" s="786"/>
      <c r="C48" s="57" t="s">
        <v>23</v>
      </c>
      <c r="D48" s="293">
        <v>0</v>
      </c>
      <c r="E48" s="271">
        <v>0</v>
      </c>
      <c r="F48" s="294">
        <v>0</v>
      </c>
      <c r="G48" s="270">
        <v>0</v>
      </c>
      <c r="H48" s="271">
        <v>0</v>
      </c>
      <c r="I48" s="271">
        <v>0</v>
      </c>
      <c r="J48" s="363" t="str">
        <f t="shared" si="6"/>
        <v>－</v>
      </c>
      <c r="K48" s="270">
        <v>0</v>
      </c>
      <c r="L48" s="365" t="str">
        <f t="shared" si="7"/>
        <v>－</v>
      </c>
      <c r="N48" s="135"/>
      <c r="P48" s="135"/>
    </row>
    <row r="49" spans="1:16">
      <c r="A49" s="68"/>
      <c r="B49" s="69"/>
      <c r="C49" s="57" t="s">
        <v>21</v>
      </c>
      <c r="D49" s="291">
        <v>0</v>
      </c>
      <c r="E49" s="269">
        <v>0</v>
      </c>
      <c r="F49" s="292">
        <v>0</v>
      </c>
      <c r="G49" s="268">
        <v>0</v>
      </c>
      <c r="H49" s="269">
        <v>0</v>
      </c>
      <c r="I49" s="269">
        <v>0</v>
      </c>
      <c r="J49" s="363" t="str">
        <f t="shared" si="6"/>
        <v>－</v>
      </c>
      <c r="K49" s="268">
        <v>0</v>
      </c>
      <c r="L49" s="365" t="str">
        <f t="shared" si="7"/>
        <v>－</v>
      </c>
      <c r="N49" s="135"/>
      <c r="P49" s="135"/>
    </row>
    <row r="50" spans="1:16">
      <c r="A50" s="67"/>
      <c r="B50" s="784" t="s">
        <v>39</v>
      </c>
      <c r="C50" s="57" t="s">
        <v>20</v>
      </c>
      <c r="D50" s="291">
        <v>0</v>
      </c>
      <c r="E50" s="269">
        <v>0</v>
      </c>
      <c r="F50" s="292">
        <v>0</v>
      </c>
      <c r="G50" s="272">
        <v>0</v>
      </c>
      <c r="H50" s="273">
        <v>0</v>
      </c>
      <c r="I50" s="273">
        <v>0</v>
      </c>
      <c r="J50" s="364" t="str">
        <f t="shared" si="6"/>
        <v>－</v>
      </c>
      <c r="K50" s="272">
        <v>0</v>
      </c>
      <c r="L50" s="366" t="str">
        <f t="shared" si="7"/>
        <v>－</v>
      </c>
      <c r="N50" s="135"/>
      <c r="P50" s="135"/>
    </row>
    <row r="51" spans="1:16">
      <c r="A51" s="68"/>
      <c r="B51" s="785"/>
      <c r="C51" s="57" t="s">
        <v>21</v>
      </c>
      <c r="D51" s="291">
        <v>0</v>
      </c>
      <c r="E51" s="269">
        <v>0</v>
      </c>
      <c r="F51" s="292">
        <v>0</v>
      </c>
      <c r="G51" s="268">
        <v>0</v>
      </c>
      <c r="H51" s="269">
        <v>0</v>
      </c>
      <c r="I51" s="269">
        <v>0</v>
      </c>
      <c r="J51" s="363" t="str">
        <f t="shared" si="6"/>
        <v>－</v>
      </c>
      <c r="K51" s="268">
        <v>0</v>
      </c>
      <c r="L51" s="365" t="str">
        <f t="shared" si="7"/>
        <v>－</v>
      </c>
      <c r="N51" s="135"/>
      <c r="P51" s="135"/>
    </row>
    <row r="52" spans="1:16">
      <c r="A52" s="56"/>
      <c r="B52" s="781" t="s">
        <v>40</v>
      </c>
      <c r="C52" s="57" t="s">
        <v>20</v>
      </c>
      <c r="D52" s="291">
        <v>1432.3050000000001</v>
      </c>
      <c r="E52" s="269">
        <v>514.72799999999995</v>
      </c>
      <c r="F52" s="292">
        <v>0</v>
      </c>
      <c r="G52" s="272">
        <v>0</v>
      </c>
      <c r="H52" s="273">
        <v>0</v>
      </c>
      <c r="I52" s="273">
        <v>0</v>
      </c>
      <c r="J52" s="364" t="str">
        <f t="shared" si="6"/>
        <v>－</v>
      </c>
      <c r="K52" s="272">
        <v>0</v>
      </c>
      <c r="L52" s="366" t="str">
        <f t="shared" si="7"/>
        <v>－</v>
      </c>
      <c r="N52" s="135"/>
      <c r="P52" s="135"/>
    </row>
    <row r="53" spans="1:16" ht="14.25" thickBot="1">
      <c r="A53" s="68"/>
      <c r="B53" s="787"/>
      <c r="C53" s="57" t="s">
        <v>21</v>
      </c>
      <c r="D53" s="298">
        <v>0.58333333333333337</v>
      </c>
      <c r="E53" s="275">
        <v>0.25</v>
      </c>
      <c r="F53" s="299">
        <v>0</v>
      </c>
      <c r="G53" s="274">
        <v>0</v>
      </c>
      <c r="H53" s="275">
        <v>0</v>
      </c>
      <c r="I53" s="275">
        <v>0</v>
      </c>
      <c r="J53" s="367" t="str">
        <f t="shared" si="6"/>
        <v>－</v>
      </c>
      <c r="K53" s="274">
        <v>0</v>
      </c>
      <c r="L53" s="368" t="str">
        <f t="shared" si="7"/>
        <v>－</v>
      </c>
      <c r="N53" s="135"/>
      <c r="P53" s="135"/>
    </row>
    <row r="54" spans="1:16">
      <c r="A54" s="70" t="s">
        <v>123</v>
      </c>
      <c r="B54" s="71"/>
      <c r="C54" s="72" t="s">
        <v>20</v>
      </c>
      <c r="D54" s="295">
        <v>11756.050999999999</v>
      </c>
      <c r="E54" s="296">
        <v>10989.632</v>
      </c>
      <c r="F54" s="297">
        <v>10295.794953667637</v>
      </c>
      <c r="G54" s="276">
        <v>5417</v>
      </c>
      <c r="H54" s="277">
        <v>5419</v>
      </c>
      <c r="I54" s="277">
        <v>5419</v>
      </c>
      <c r="J54" s="369">
        <f t="shared" si="6"/>
        <v>0.5262666319324063</v>
      </c>
      <c r="K54" s="276">
        <v>4276</v>
      </c>
      <c r="L54" s="372">
        <f t="shared" si="7"/>
        <v>0.41531518636905007</v>
      </c>
      <c r="N54" s="135"/>
      <c r="P54" s="135"/>
    </row>
    <row r="55" spans="1:16" ht="14.25" thickBot="1">
      <c r="A55" s="73"/>
      <c r="B55" s="74"/>
      <c r="C55" s="75" t="s">
        <v>21</v>
      </c>
      <c r="D55" s="300">
        <v>224.66666666666666</v>
      </c>
      <c r="E55" s="279">
        <v>208</v>
      </c>
      <c r="F55" s="301">
        <v>190.90432131257481</v>
      </c>
      <c r="G55" s="278">
        <v>100</v>
      </c>
      <c r="H55" s="279">
        <v>100</v>
      </c>
      <c r="I55" s="279">
        <v>100</v>
      </c>
      <c r="J55" s="370">
        <f t="shared" si="6"/>
        <v>0.52382261078452097</v>
      </c>
      <c r="K55" s="278">
        <v>79</v>
      </c>
      <c r="L55" s="373">
        <f t="shared" si="7"/>
        <v>0.41381986251977154</v>
      </c>
      <c r="N55" s="135"/>
      <c r="P55" s="135"/>
    </row>
    <row r="56" spans="1:16" ht="14.25" thickBot="1">
      <c r="A56" s="76" t="s">
        <v>41</v>
      </c>
      <c r="B56" s="111"/>
      <c r="C56" s="77" t="s">
        <v>20</v>
      </c>
      <c r="D56" s="288">
        <f t="shared" ref="D56:F56" si="8">IF(ISERROR(SUM(D12,D14,D17,D20,D23,D25,D27,D29,D32,D35,D38,D40,D42,D44,D47,D50,D52,D54)),0,(SUM(D12,D14,D17,D20,D23,D25,D27,D29,D32,D35,D38,D40,D42,D44,D47,D50,D52,D54)))</f>
        <v>96441.705999999976</v>
      </c>
      <c r="E56" s="289">
        <f t="shared" si="8"/>
        <v>86712.117090909087</v>
      </c>
      <c r="F56" s="290">
        <f t="shared" si="8"/>
        <v>80446.443658675998</v>
      </c>
      <c r="G56" s="280">
        <f>IF(ISERROR(SUM(G12,G14,G17,G20,G23,G25,G27,G29,G32,G35,G38,G40,G42,G44,G47,G50,G52,G54)),0,(SUM(G12,G14,G17,G20,G23,G25,G27,G29,G32,G35,G38,G40,G42,G44,G47,G50,G52,G54)))</f>
        <v>28548</v>
      </c>
      <c r="H56" s="281">
        <f t="shared" ref="H56:K56" si="9">IF(ISERROR(SUM(H12,H14,H17,H20,H23,H25,H27,H29,H32,H35,H38,H40,H42,H44,H47,H50,H52,H54)),0,(SUM(H12,H14,H17,H20,H23,H25,H27,H29,H32,H35,H38,H40,H42,H44,H47,H50,H52,H54)))</f>
        <v>28559</v>
      </c>
      <c r="I56" s="281">
        <f t="shared" si="9"/>
        <v>28559</v>
      </c>
      <c r="J56" s="371">
        <f t="shared" si="6"/>
        <v>0.35496079173480893</v>
      </c>
      <c r="K56" s="302">
        <f t="shared" si="9"/>
        <v>22801</v>
      </c>
      <c r="L56" s="374">
        <f t="shared" si="7"/>
        <v>0.28343080145023858</v>
      </c>
      <c r="N56" s="135"/>
      <c r="P56" s="135"/>
    </row>
    <row r="57" spans="1:16">
      <c r="A57" s="50" t="s">
        <v>121</v>
      </c>
      <c r="B57" s="79"/>
      <c r="C57" s="114"/>
      <c r="D57" s="115"/>
      <c r="E57" s="115"/>
      <c r="F57" s="115"/>
      <c r="G57" s="313" t="s">
        <v>117</v>
      </c>
      <c r="H57" s="223"/>
      <c r="I57" s="223"/>
      <c r="J57" s="223"/>
      <c r="K57" s="760" t="s">
        <v>118</v>
      </c>
      <c r="L57" s="760"/>
      <c r="M57" s="760"/>
    </row>
    <row r="58" spans="1:16">
      <c r="A58" s="78"/>
      <c r="B58" s="79"/>
      <c r="C58" s="114"/>
      <c r="D58" s="115"/>
      <c r="E58" s="115"/>
      <c r="F58" s="115"/>
      <c r="G58" s="115"/>
      <c r="H58" s="115"/>
      <c r="I58" s="115"/>
      <c r="J58" s="115"/>
      <c r="K58" s="760"/>
      <c r="L58" s="760"/>
      <c r="M58" s="760"/>
    </row>
    <row r="59" spans="1:16">
      <c r="A59" s="82" t="s">
        <v>100</v>
      </c>
      <c r="B59" s="83"/>
      <c r="C59" s="84"/>
    </row>
    <row r="60" spans="1:16" ht="14.25" thickBot="1">
      <c r="A60" s="85"/>
      <c r="B60" s="83"/>
      <c r="C60" s="84"/>
      <c r="L60" s="140" t="s">
        <v>116</v>
      </c>
    </row>
    <row r="61" spans="1:16" ht="23.25" thickBot="1">
      <c r="A61" s="110"/>
      <c r="B61" s="111"/>
      <c r="C61" s="112"/>
      <c r="D61" s="147" t="s">
        <v>105</v>
      </c>
      <c r="E61" s="132" t="s">
        <v>106</v>
      </c>
      <c r="F61" s="156" t="s">
        <v>2</v>
      </c>
      <c r="G61" s="107" t="s">
        <v>72</v>
      </c>
      <c r="H61" s="132" t="s">
        <v>73</v>
      </c>
      <c r="I61" s="109" t="s">
        <v>3</v>
      </c>
      <c r="J61" s="190" t="s">
        <v>110</v>
      </c>
      <c r="K61" s="107" t="s">
        <v>107</v>
      </c>
      <c r="L61" s="191" t="s">
        <v>111</v>
      </c>
    </row>
    <row r="62" spans="1:16">
      <c r="A62" s="86" t="s">
        <v>43</v>
      </c>
      <c r="B62" s="61"/>
      <c r="C62" s="87"/>
      <c r="D62" s="162"/>
      <c r="E62" s="51"/>
      <c r="F62" s="163"/>
      <c r="G62" s="88"/>
      <c r="H62" s="51"/>
      <c r="I62" s="89"/>
      <c r="J62" s="89"/>
      <c r="K62" s="88"/>
      <c r="L62" s="49"/>
    </row>
    <row r="63" spans="1:16">
      <c r="A63" s="56"/>
      <c r="B63" s="784" t="s">
        <v>44</v>
      </c>
      <c r="C63" s="57" t="s">
        <v>20</v>
      </c>
      <c r="D63" s="303">
        <v>100768.414</v>
      </c>
      <c r="E63" s="273">
        <v>84782.395999999993</v>
      </c>
      <c r="F63" s="304">
        <v>92943.664049171901</v>
      </c>
      <c r="G63" s="272">
        <v>91710</v>
      </c>
      <c r="H63" s="273">
        <v>91751</v>
      </c>
      <c r="I63" s="284">
        <v>91751</v>
      </c>
      <c r="J63" s="364">
        <f t="shared" ref="J63:J93" si="10">IFERROR(SUM(G63:I63)/3/F63,"－")</f>
        <v>0.98702083968628174</v>
      </c>
      <c r="K63" s="272">
        <v>85348</v>
      </c>
      <c r="L63" s="366">
        <f t="shared" ref="L63:L93" si="11">IFERROR(K63/F63,"－")</f>
        <v>0.91827668806823226</v>
      </c>
      <c r="N63" s="135"/>
      <c r="P63" s="135"/>
    </row>
    <row r="64" spans="1:16">
      <c r="A64" s="56"/>
      <c r="B64" s="786"/>
      <c r="C64" s="57" t="s">
        <v>23</v>
      </c>
      <c r="D64" s="293">
        <v>2636.5833333333335</v>
      </c>
      <c r="E64" s="271">
        <v>2287.3333333333335</v>
      </c>
      <c r="F64" s="305">
        <v>2340.522631769677</v>
      </c>
      <c r="G64" s="270">
        <v>2302</v>
      </c>
      <c r="H64" s="271">
        <v>2302</v>
      </c>
      <c r="I64" s="283">
        <v>2302</v>
      </c>
      <c r="J64" s="363">
        <f t="shared" si="10"/>
        <v>0.9835410129144746</v>
      </c>
      <c r="K64" s="270">
        <v>2150</v>
      </c>
      <c r="L64" s="365">
        <f t="shared" si="11"/>
        <v>0.91859825272203322</v>
      </c>
      <c r="N64" s="135"/>
      <c r="P64" s="135"/>
    </row>
    <row r="65" spans="1:16">
      <c r="A65" s="56"/>
      <c r="B65" s="189"/>
      <c r="C65" s="57" t="s">
        <v>21</v>
      </c>
      <c r="D65" s="291">
        <v>140.66666666666666</v>
      </c>
      <c r="E65" s="269">
        <v>137.66666666666666</v>
      </c>
      <c r="F65" s="306">
        <v>135.33084373684753</v>
      </c>
      <c r="G65" s="268">
        <v>130</v>
      </c>
      <c r="H65" s="269">
        <v>130</v>
      </c>
      <c r="I65" s="282">
        <v>130</v>
      </c>
      <c r="J65" s="363">
        <f t="shared" si="10"/>
        <v>0.96060880439633245</v>
      </c>
      <c r="K65" s="268">
        <v>122</v>
      </c>
      <c r="L65" s="365">
        <f t="shared" si="11"/>
        <v>0.90149441643348127</v>
      </c>
      <c r="N65" s="135"/>
      <c r="P65" s="135"/>
    </row>
    <row r="66" spans="1:16">
      <c r="A66" s="56"/>
      <c r="B66" s="784" t="s">
        <v>45</v>
      </c>
      <c r="C66" s="57" t="s">
        <v>20</v>
      </c>
      <c r="D66" s="303">
        <v>16750.02</v>
      </c>
      <c r="E66" s="273">
        <v>17003.504000000001</v>
      </c>
      <c r="F66" s="304">
        <v>11372.63881157837</v>
      </c>
      <c r="G66" s="272">
        <v>11929</v>
      </c>
      <c r="H66" s="273">
        <v>11934</v>
      </c>
      <c r="I66" s="284">
        <v>11934</v>
      </c>
      <c r="J66" s="364">
        <f t="shared" si="10"/>
        <v>1.0492141297220434</v>
      </c>
      <c r="K66" s="272">
        <v>11804</v>
      </c>
      <c r="L66" s="366">
        <f t="shared" si="11"/>
        <v>1.0379297360593625</v>
      </c>
      <c r="N66" s="135"/>
      <c r="P66" s="135"/>
    </row>
    <row r="67" spans="1:16">
      <c r="A67" s="56"/>
      <c r="B67" s="786"/>
      <c r="C67" s="57" t="s">
        <v>23</v>
      </c>
      <c r="D67" s="303">
        <v>106.08333333333333</v>
      </c>
      <c r="E67" s="273">
        <v>107.33333333333333</v>
      </c>
      <c r="F67" s="304">
        <v>70.685887416362974</v>
      </c>
      <c r="G67" s="270">
        <v>74</v>
      </c>
      <c r="H67" s="271">
        <v>74</v>
      </c>
      <c r="I67" s="283">
        <v>74</v>
      </c>
      <c r="J67" s="363">
        <f t="shared" si="10"/>
        <v>1.0468850672287076</v>
      </c>
      <c r="K67" s="270">
        <v>73</v>
      </c>
      <c r="L67" s="365">
        <f t="shared" si="11"/>
        <v>1.0327379717256169</v>
      </c>
      <c r="N67" s="135"/>
      <c r="P67" s="135"/>
    </row>
    <row r="68" spans="1:16">
      <c r="A68" s="56"/>
      <c r="B68" s="189"/>
      <c r="C68" s="57" t="s">
        <v>21</v>
      </c>
      <c r="D68" s="291">
        <v>23.25</v>
      </c>
      <c r="E68" s="269">
        <v>25.416666666666668</v>
      </c>
      <c r="F68" s="306">
        <v>18.932125603864733</v>
      </c>
      <c r="G68" s="268">
        <v>17</v>
      </c>
      <c r="H68" s="269">
        <v>17</v>
      </c>
      <c r="I68" s="282">
        <v>17</v>
      </c>
      <c r="J68" s="363">
        <f t="shared" si="10"/>
        <v>0.89794460250832497</v>
      </c>
      <c r="K68" s="268">
        <v>17</v>
      </c>
      <c r="L68" s="365">
        <f t="shared" si="11"/>
        <v>0.89794460250832497</v>
      </c>
      <c r="N68" s="135"/>
      <c r="P68" s="135"/>
    </row>
    <row r="69" spans="1:16">
      <c r="A69" s="56"/>
      <c r="B69" s="784" t="s">
        <v>46</v>
      </c>
      <c r="C69" s="57" t="s">
        <v>20</v>
      </c>
      <c r="D69" s="303">
        <v>14438.353999999999</v>
      </c>
      <c r="E69" s="273">
        <v>17514.377</v>
      </c>
      <c r="F69" s="304">
        <v>20821.834083954131</v>
      </c>
      <c r="G69" s="272">
        <v>22293</v>
      </c>
      <c r="H69" s="273">
        <v>22303</v>
      </c>
      <c r="I69" s="284">
        <v>22303</v>
      </c>
      <c r="J69" s="364">
        <f t="shared" si="10"/>
        <v>1.0709751396900908</v>
      </c>
      <c r="K69" s="272">
        <v>15857</v>
      </c>
      <c r="L69" s="366">
        <f t="shared" si="11"/>
        <v>0.76155635166739866</v>
      </c>
      <c r="N69" s="135"/>
      <c r="P69" s="135"/>
    </row>
    <row r="70" spans="1:16">
      <c r="A70" s="56"/>
      <c r="B70" s="786"/>
      <c r="C70" s="57" t="s">
        <v>23</v>
      </c>
      <c r="D70" s="293">
        <v>187.83333333333334</v>
      </c>
      <c r="E70" s="271">
        <v>229.91666666666666</v>
      </c>
      <c r="F70" s="305">
        <v>273.75586140817057</v>
      </c>
      <c r="G70" s="270">
        <v>290.5</v>
      </c>
      <c r="H70" s="271">
        <v>290.5</v>
      </c>
      <c r="I70" s="283">
        <v>290.5</v>
      </c>
      <c r="J70" s="363">
        <f t="shared" si="10"/>
        <v>1.06116449344938</v>
      </c>
      <c r="K70" s="270">
        <v>206.5</v>
      </c>
      <c r="L70" s="365">
        <f t="shared" si="11"/>
        <v>0.75432174835558341</v>
      </c>
      <c r="N70" s="135"/>
      <c r="P70" s="135"/>
    </row>
    <row r="71" spans="1:16">
      <c r="A71" s="56"/>
      <c r="B71" s="189"/>
      <c r="C71" s="57" t="s">
        <v>21</v>
      </c>
      <c r="D71" s="291">
        <v>29.833333333333332</v>
      </c>
      <c r="E71" s="269">
        <v>37.666666666666664</v>
      </c>
      <c r="F71" s="306">
        <v>44.53198892474898</v>
      </c>
      <c r="G71" s="268">
        <v>47</v>
      </c>
      <c r="H71" s="269">
        <v>47</v>
      </c>
      <c r="I71" s="282">
        <v>47</v>
      </c>
      <c r="J71" s="363">
        <f t="shared" si="10"/>
        <v>1.0554210834692677</v>
      </c>
      <c r="K71" s="268">
        <v>38</v>
      </c>
      <c r="L71" s="365">
        <f t="shared" si="11"/>
        <v>0.85331917386876965</v>
      </c>
      <c r="N71" s="135"/>
      <c r="P71" s="135"/>
    </row>
    <row r="72" spans="1:16">
      <c r="A72" s="56"/>
      <c r="B72" s="784" t="s">
        <v>47</v>
      </c>
      <c r="C72" s="57" t="s">
        <v>20</v>
      </c>
      <c r="D72" s="303">
        <v>1443.95</v>
      </c>
      <c r="E72" s="273">
        <v>1480.068</v>
      </c>
      <c r="F72" s="304">
        <v>1019.3482112514351</v>
      </c>
      <c r="G72" s="272">
        <v>1223</v>
      </c>
      <c r="H72" s="273">
        <v>1183</v>
      </c>
      <c r="I72" s="284">
        <v>1141</v>
      </c>
      <c r="J72" s="364">
        <f t="shared" si="10"/>
        <v>1.1598915074190441</v>
      </c>
      <c r="K72" s="272">
        <v>1020</v>
      </c>
      <c r="L72" s="366">
        <f t="shared" si="11"/>
        <v>1.0006394171700803</v>
      </c>
      <c r="N72" s="135"/>
      <c r="P72" s="135"/>
    </row>
    <row r="73" spans="1:16">
      <c r="A73" s="56"/>
      <c r="B73" s="786"/>
      <c r="C73" s="57" t="s">
        <v>23</v>
      </c>
      <c r="D73" s="293">
        <v>43</v>
      </c>
      <c r="E73" s="271">
        <v>44.833333333333336</v>
      </c>
      <c r="F73" s="305">
        <v>30.93398392652124</v>
      </c>
      <c r="G73" s="270">
        <v>37.1</v>
      </c>
      <c r="H73" s="271">
        <v>35.9</v>
      </c>
      <c r="I73" s="283">
        <v>34.700000000000003</v>
      </c>
      <c r="J73" s="363">
        <f t="shared" si="10"/>
        <v>1.1605359363111696</v>
      </c>
      <c r="K73" s="270">
        <v>31.2</v>
      </c>
      <c r="L73" s="365">
        <f t="shared" si="11"/>
        <v>1.0085994766826878</v>
      </c>
      <c r="N73" s="135"/>
      <c r="P73" s="135"/>
    </row>
    <row r="74" spans="1:16">
      <c r="A74" s="56"/>
      <c r="B74" s="189"/>
      <c r="C74" s="57" t="s">
        <v>21</v>
      </c>
      <c r="D74" s="291">
        <v>6.25</v>
      </c>
      <c r="E74" s="269">
        <v>5.666666666666667</v>
      </c>
      <c r="F74" s="306">
        <v>4.5</v>
      </c>
      <c r="G74" s="268">
        <v>5</v>
      </c>
      <c r="H74" s="269">
        <v>5</v>
      </c>
      <c r="I74" s="282">
        <v>5</v>
      </c>
      <c r="J74" s="363">
        <f t="shared" si="10"/>
        <v>1.1111111111111112</v>
      </c>
      <c r="K74" s="268">
        <v>4</v>
      </c>
      <c r="L74" s="365">
        <f t="shared" si="11"/>
        <v>0.88888888888888884</v>
      </c>
      <c r="N74" s="135"/>
      <c r="P74" s="135"/>
    </row>
    <row r="75" spans="1:16">
      <c r="A75" s="56"/>
      <c r="B75" s="784" t="s">
        <v>48</v>
      </c>
      <c r="C75" s="57" t="s">
        <v>20</v>
      </c>
      <c r="D75" s="303">
        <v>2785.6509999999998</v>
      </c>
      <c r="E75" s="273">
        <v>2693.4349999999999</v>
      </c>
      <c r="F75" s="304">
        <v>3097.6772400354457</v>
      </c>
      <c r="G75" s="272">
        <v>2918</v>
      </c>
      <c r="H75" s="273">
        <v>2920</v>
      </c>
      <c r="I75" s="284">
        <v>2920</v>
      </c>
      <c r="J75" s="364">
        <f t="shared" si="10"/>
        <v>0.94242656904433608</v>
      </c>
      <c r="K75" s="272">
        <v>2775</v>
      </c>
      <c r="L75" s="366">
        <f t="shared" si="11"/>
        <v>0.89583251738914105</v>
      </c>
      <c r="N75" s="135"/>
      <c r="P75" s="135"/>
    </row>
    <row r="76" spans="1:16">
      <c r="A76" s="56"/>
      <c r="B76" s="785"/>
      <c r="C76" s="57" t="s">
        <v>21</v>
      </c>
      <c r="D76" s="291">
        <v>40.25</v>
      </c>
      <c r="E76" s="269">
        <v>40.083333333333336</v>
      </c>
      <c r="F76" s="306">
        <v>44.696078709207598</v>
      </c>
      <c r="G76" s="268">
        <v>42</v>
      </c>
      <c r="H76" s="269">
        <v>42</v>
      </c>
      <c r="I76" s="282">
        <v>42</v>
      </c>
      <c r="J76" s="363">
        <f t="shared" si="10"/>
        <v>0.93967974849095226</v>
      </c>
      <c r="K76" s="268">
        <v>40</v>
      </c>
      <c r="L76" s="365">
        <f t="shared" si="11"/>
        <v>0.89493309380090691</v>
      </c>
      <c r="N76" s="135"/>
      <c r="P76" s="135"/>
    </row>
    <row r="77" spans="1:16">
      <c r="A77" s="56"/>
      <c r="B77" s="784" t="s">
        <v>49</v>
      </c>
      <c r="C77" s="57" t="s">
        <v>20</v>
      </c>
      <c r="D77" s="303">
        <v>296232.005</v>
      </c>
      <c r="E77" s="273">
        <v>281367.71454545454</v>
      </c>
      <c r="F77" s="304">
        <v>286920.78783421218</v>
      </c>
      <c r="G77" s="272">
        <v>281585</v>
      </c>
      <c r="H77" s="273">
        <v>281711</v>
      </c>
      <c r="I77" s="284">
        <v>281711</v>
      </c>
      <c r="J77" s="364">
        <f t="shared" si="10"/>
        <v>0.98169603578097397</v>
      </c>
      <c r="K77" s="272">
        <v>265280</v>
      </c>
      <c r="L77" s="366">
        <f t="shared" si="11"/>
        <v>0.92457574092987427</v>
      </c>
      <c r="N77" s="135"/>
      <c r="P77" s="135"/>
    </row>
    <row r="78" spans="1:16">
      <c r="A78" s="56"/>
      <c r="B78" s="786"/>
      <c r="C78" s="57" t="s">
        <v>23</v>
      </c>
      <c r="D78" s="303">
        <v>2962.9166666666665</v>
      </c>
      <c r="E78" s="273">
        <v>2867.909090909091</v>
      </c>
      <c r="F78" s="304">
        <v>2810.0038971638764</v>
      </c>
      <c r="G78" s="270">
        <v>2775</v>
      </c>
      <c r="H78" s="271">
        <v>2775</v>
      </c>
      <c r="I78" s="283">
        <v>2775</v>
      </c>
      <c r="J78" s="363">
        <f t="shared" si="10"/>
        <v>0.98754311437104925</v>
      </c>
      <c r="K78" s="270">
        <v>2590</v>
      </c>
      <c r="L78" s="365">
        <f t="shared" si="11"/>
        <v>0.92170690674631262</v>
      </c>
      <c r="N78" s="135"/>
      <c r="P78" s="135"/>
    </row>
    <row r="79" spans="1:16">
      <c r="A79" s="56"/>
      <c r="B79" s="189"/>
      <c r="C79" s="57" t="s">
        <v>21</v>
      </c>
      <c r="D79" s="291">
        <v>344.41666666666669</v>
      </c>
      <c r="E79" s="269">
        <v>348</v>
      </c>
      <c r="F79" s="306">
        <v>333.26363846170972</v>
      </c>
      <c r="G79" s="268">
        <v>330</v>
      </c>
      <c r="H79" s="269">
        <v>330</v>
      </c>
      <c r="I79" s="282">
        <v>330</v>
      </c>
      <c r="J79" s="363">
        <f t="shared" si="10"/>
        <v>0.99020703705698543</v>
      </c>
      <c r="K79" s="268">
        <v>320</v>
      </c>
      <c r="L79" s="365">
        <f t="shared" si="11"/>
        <v>0.96020076320677383</v>
      </c>
      <c r="N79" s="135"/>
      <c r="P79" s="135"/>
    </row>
    <row r="80" spans="1:16">
      <c r="A80" s="56"/>
      <c r="B80" s="784" t="s">
        <v>50</v>
      </c>
      <c r="C80" s="57" t="s">
        <v>20</v>
      </c>
      <c r="D80" s="303">
        <v>71387.004000000001</v>
      </c>
      <c r="E80" s="273">
        <v>71811.638999999996</v>
      </c>
      <c r="F80" s="304">
        <v>67015.479577844511</v>
      </c>
      <c r="G80" s="272">
        <v>71099</v>
      </c>
      <c r="H80" s="273">
        <v>71131</v>
      </c>
      <c r="I80" s="284">
        <v>71131</v>
      </c>
      <c r="J80" s="364">
        <f t="shared" si="10"/>
        <v>1.0612523223193628</v>
      </c>
      <c r="K80" s="272">
        <v>71131</v>
      </c>
      <c r="L80" s="366">
        <f t="shared" si="11"/>
        <v>1.0614114895257138</v>
      </c>
      <c r="N80" s="135"/>
      <c r="P80" s="135"/>
    </row>
    <row r="81" spans="1:16">
      <c r="A81" s="56"/>
      <c r="B81" s="786"/>
      <c r="C81" s="57" t="s">
        <v>23</v>
      </c>
      <c r="D81" s="293">
        <v>695.75</v>
      </c>
      <c r="E81" s="271">
        <v>713.41666666666663</v>
      </c>
      <c r="F81" s="305">
        <v>654.46949961442203</v>
      </c>
      <c r="G81" s="270">
        <v>686</v>
      </c>
      <c r="H81" s="271">
        <v>686</v>
      </c>
      <c r="I81" s="283">
        <v>686</v>
      </c>
      <c r="J81" s="363">
        <f t="shared" si="10"/>
        <v>1.0481771884009172</v>
      </c>
      <c r="K81" s="270">
        <v>686</v>
      </c>
      <c r="L81" s="365">
        <f t="shared" si="11"/>
        <v>1.0481771884009172</v>
      </c>
      <c r="N81" s="135"/>
      <c r="P81" s="135"/>
    </row>
    <row r="82" spans="1:16">
      <c r="A82" s="56"/>
      <c r="B82" s="189"/>
      <c r="C82" s="57" t="s">
        <v>21</v>
      </c>
      <c r="D82" s="291">
        <v>97.833333333333329</v>
      </c>
      <c r="E82" s="269">
        <v>97.583333333333329</v>
      </c>
      <c r="F82" s="306">
        <v>95.436197668565825</v>
      </c>
      <c r="G82" s="268">
        <v>96</v>
      </c>
      <c r="H82" s="269">
        <v>96</v>
      </c>
      <c r="I82" s="282">
        <v>96</v>
      </c>
      <c r="J82" s="363">
        <f t="shared" si="10"/>
        <v>1.0059076361507211</v>
      </c>
      <c r="K82" s="268">
        <v>96</v>
      </c>
      <c r="L82" s="365">
        <f t="shared" si="11"/>
        <v>1.0059076361507211</v>
      </c>
      <c r="N82" s="135"/>
      <c r="P82" s="135"/>
    </row>
    <row r="83" spans="1:16">
      <c r="A83" s="56"/>
      <c r="B83" s="784" t="s">
        <v>51</v>
      </c>
      <c r="C83" s="57" t="s">
        <v>20</v>
      </c>
      <c r="D83" s="303">
        <v>107768.773</v>
      </c>
      <c r="E83" s="273">
        <v>123986.852</v>
      </c>
      <c r="F83" s="304">
        <v>129166.07958464841</v>
      </c>
      <c r="G83" s="272">
        <v>133738</v>
      </c>
      <c r="H83" s="273">
        <v>133798</v>
      </c>
      <c r="I83" s="284">
        <v>133798</v>
      </c>
      <c r="J83" s="364">
        <f t="shared" si="10"/>
        <v>1.0357053525986224</v>
      </c>
      <c r="K83" s="272">
        <v>117363</v>
      </c>
      <c r="L83" s="366">
        <f t="shared" si="11"/>
        <v>0.908620904012858</v>
      </c>
      <c r="N83" s="135"/>
      <c r="P83" s="135"/>
    </row>
    <row r="84" spans="1:16">
      <c r="A84" s="56"/>
      <c r="B84" s="786"/>
      <c r="C84" s="57" t="s">
        <v>30</v>
      </c>
      <c r="D84" s="293">
        <v>1108.0833333333333</v>
      </c>
      <c r="E84" s="271">
        <v>1275.8333333333333</v>
      </c>
      <c r="F84" s="305">
        <v>1287.4465561545028</v>
      </c>
      <c r="G84" s="270">
        <v>1317.4</v>
      </c>
      <c r="H84" s="271">
        <v>1317.4</v>
      </c>
      <c r="I84" s="283">
        <v>1317.4</v>
      </c>
      <c r="J84" s="363">
        <f t="shared" si="10"/>
        <v>1.0232657765111166</v>
      </c>
      <c r="K84" s="270">
        <v>1159</v>
      </c>
      <c r="L84" s="365">
        <f t="shared" si="11"/>
        <v>0.90023154317320786</v>
      </c>
      <c r="N84" s="135"/>
      <c r="P84" s="135"/>
    </row>
    <row r="85" spans="1:16">
      <c r="A85" s="56"/>
      <c r="B85" s="189"/>
      <c r="C85" s="57" t="s">
        <v>21</v>
      </c>
      <c r="D85" s="291">
        <v>109.66666666666667</v>
      </c>
      <c r="E85" s="269">
        <v>117.08333333333333</v>
      </c>
      <c r="F85" s="306">
        <v>117.86883701766166</v>
      </c>
      <c r="G85" s="268">
        <v>123</v>
      </c>
      <c r="H85" s="269">
        <v>123</v>
      </c>
      <c r="I85" s="282">
        <v>123</v>
      </c>
      <c r="J85" s="363">
        <f t="shared" si="10"/>
        <v>1.043532820991264</v>
      </c>
      <c r="K85" s="268">
        <v>114</v>
      </c>
      <c r="L85" s="365">
        <f t="shared" si="11"/>
        <v>0.9671767609187325</v>
      </c>
      <c r="N85" s="135"/>
      <c r="P85" s="135"/>
    </row>
    <row r="86" spans="1:16">
      <c r="A86" s="56"/>
      <c r="B86" s="781" t="s">
        <v>52</v>
      </c>
      <c r="C86" s="57" t="s">
        <v>20</v>
      </c>
      <c r="D86" s="303">
        <v>28153.079000000002</v>
      </c>
      <c r="E86" s="273">
        <v>27599.617999999999</v>
      </c>
      <c r="F86" s="304">
        <v>35937.678991725144</v>
      </c>
      <c r="G86" s="272">
        <v>35317</v>
      </c>
      <c r="H86" s="273">
        <v>35332</v>
      </c>
      <c r="I86" s="284">
        <v>35332</v>
      </c>
      <c r="J86" s="364">
        <f t="shared" si="10"/>
        <v>0.98300727790835474</v>
      </c>
      <c r="K86" s="272">
        <v>28799</v>
      </c>
      <c r="L86" s="366">
        <f t="shared" si="11"/>
        <v>0.80135948697830861</v>
      </c>
      <c r="N86" s="135"/>
      <c r="P86" s="135"/>
    </row>
    <row r="87" spans="1:16">
      <c r="A87" s="56"/>
      <c r="B87" s="787"/>
      <c r="C87" s="57" t="s">
        <v>30</v>
      </c>
      <c r="D87" s="293">
        <v>248.58333333333334</v>
      </c>
      <c r="E87" s="271">
        <v>242.66666666666666</v>
      </c>
      <c r="F87" s="305">
        <v>310.85118579315952</v>
      </c>
      <c r="G87" s="270">
        <v>309.8</v>
      </c>
      <c r="H87" s="271">
        <v>309.8</v>
      </c>
      <c r="I87" s="283">
        <v>309.8</v>
      </c>
      <c r="J87" s="363">
        <f t="shared" si="10"/>
        <v>0.99661836325160758</v>
      </c>
      <c r="K87" s="270">
        <v>251.2</v>
      </c>
      <c r="L87" s="365">
        <f t="shared" si="11"/>
        <v>0.80810372126792707</v>
      </c>
      <c r="N87" s="135"/>
      <c r="P87" s="135"/>
    </row>
    <row r="88" spans="1:16">
      <c r="A88" s="56"/>
      <c r="B88" s="189"/>
      <c r="C88" s="57" t="s">
        <v>21</v>
      </c>
      <c r="D88" s="291">
        <v>34.916666666666664</v>
      </c>
      <c r="E88" s="269">
        <v>33.75</v>
      </c>
      <c r="F88" s="306">
        <v>38.8889116202946</v>
      </c>
      <c r="G88" s="268">
        <v>43</v>
      </c>
      <c r="H88" s="269">
        <v>43</v>
      </c>
      <c r="I88" s="282">
        <v>43</v>
      </c>
      <c r="J88" s="363">
        <f t="shared" si="10"/>
        <v>1.1057136394004914</v>
      </c>
      <c r="K88" s="268">
        <v>38</v>
      </c>
      <c r="L88" s="365">
        <f t="shared" si="11"/>
        <v>0.97714228598182951</v>
      </c>
      <c r="N88" s="135"/>
      <c r="P88" s="135"/>
    </row>
    <row r="89" spans="1:16">
      <c r="A89" s="56"/>
      <c r="B89" s="781" t="s">
        <v>53</v>
      </c>
      <c r="C89" s="57" t="s">
        <v>20</v>
      </c>
      <c r="D89" s="303">
        <v>18923.341</v>
      </c>
      <c r="E89" s="273">
        <v>21409.901000000002</v>
      </c>
      <c r="F89" s="304">
        <v>8022.7514770014131</v>
      </c>
      <c r="G89" s="272">
        <v>6385</v>
      </c>
      <c r="H89" s="273">
        <v>6388</v>
      </c>
      <c r="I89" s="284">
        <v>6388</v>
      </c>
      <c r="J89" s="364">
        <f t="shared" si="10"/>
        <v>0.79611091261014699</v>
      </c>
      <c r="K89" s="272">
        <v>0</v>
      </c>
      <c r="L89" s="366">
        <f t="shared" si="11"/>
        <v>0</v>
      </c>
      <c r="N89" s="135"/>
      <c r="P89" s="135"/>
    </row>
    <row r="90" spans="1:16">
      <c r="A90" s="56"/>
      <c r="B90" s="787"/>
      <c r="C90" s="57" t="s">
        <v>30</v>
      </c>
      <c r="D90" s="293">
        <v>147</v>
      </c>
      <c r="E90" s="271">
        <v>162.58333333333334</v>
      </c>
      <c r="F90" s="305">
        <v>64.326372731559772</v>
      </c>
      <c r="G90" s="270">
        <v>50</v>
      </c>
      <c r="H90" s="271">
        <v>50</v>
      </c>
      <c r="I90" s="283">
        <v>50</v>
      </c>
      <c r="J90" s="363">
        <f t="shared" si="10"/>
        <v>0.77728617170215519</v>
      </c>
      <c r="K90" s="270">
        <v>0</v>
      </c>
      <c r="L90" s="365">
        <f t="shared" si="11"/>
        <v>0</v>
      </c>
      <c r="N90" s="135"/>
      <c r="P90" s="135"/>
    </row>
    <row r="91" spans="1:16">
      <c r="A91" s="56"/>
      <c r="B91" s="103"/>
      <c r="C91" s="57" t="s">
        <v>21</v>
      </c>
      <c r="D91" s="291">
        <v>16.25</v>
      </c>
      <c r="E91" s="269">
        <v>19.833333333333332</v>
      </c>
      <c r="F91" s="306">
        <v>5.1107531901649548</v>
      </c>
      <c r="G91" s="268">
        <v>6</v>
      </c>
      <c r="H91" s="269">
        <v>6</v>
      </c>
      <c r="I91" s="282">
        <v>6</v>
      </c>
      <c r="J91" s="363">
        <f t="shared" si="10"/>
        <v>1.1739952560312044</v>
      </c>
      <c r="K91" s="268">
        <v>0</v>
      </c>
      <c r="L91" s="365">
        <f t="shared" si="11"/>
        <v>0</v>
      </c>
      <c r="N91" s="135"/>
      <c r="P91" s="135"/>
    </row>
    <row r="92" spans="1:16">
      <c r="A92" s="56"/>
      <c r="B92" s="784" t="s">
        <v>54</v>
      </c>
      <c r="C92" s="57" t="s">
        <v>20</v>
      </c>
      <c r="D92" s="303">
        <v>41839.089999999997</v>
      </c>
      <c r="E92" s="273">
        <v>47868.474000000002</v>
      </c>
      <c r="F92" s="304">
        <v>50279.347749467815</v>
      </c>
      <c r="G92" s="272">
        <v>46837</v>
      </c>
      <c r="H92" s="273">
        <v>46570</v>
      </c>
      <c r="I92" s="284">
        <v>45902</v>
      </c>
      <c r="J92" s="364">
        <f t="shared" si="10"/>
        <v>0.92356674085583867</v>
      </c>
      <c r="K92" s="272">
        <v>41523</v>
      </c>
      <c r="L92" s="366">
        <f t="shared" si="11"/>
        <v>0.825846035372237</v>
      </c>
      <c r="N92" s="135"/>
      <c r="P92" s="135"/>
    </row>
    <row r="93" spans="1:16">
      <c r="A93" s="56"/>
      <c r="B93" s="785"/>
      <c r="C93" s="57" t="s">
        <v>21</v>
      </c>
      <c r="D93" s="291">
        <v>221.91666666666666</v>
      </c>
      <c r="E93" s="269">
        <v>252.5</v>
      </c>
      <c r="F93" s="306">
        <v>273.12299626549401</v>
      </c>
      <c r="G93" s="268">
        <v>259</v>
      </c>
      <c r="H93" s="269">
        <v>257</v>
      </c>
      <c r="I93" s="282">
        <v>252</v>
      </c>
      <c r="J93" s="363">
        <f t="shared" si="10"/>
        <v>0.93730664755577997</v>
      </c>
      <c r="K93" s="268">
        <v>223</v>
      </c>
      <c r="L93" s="365">
        <f t="shared" si="11"/>
        <v>0.81648196251929273</v>
      </c>
      <c r="N93" s="135"/>
      <c r="P93" s="135"/>
    </row>
    <row r="94" spans="1:16">
      <c r="A94" s="56"/>
      <c r="B94" s="781" t="s">
        <v>55</v>
      </c>
      <c r="C94" s="57" t="s">
        <v>20</v>
      </c>
      <c r="D94" s="303">
        <v>865.74299999999994</v>
      </c>
      <c r="E94" s="273">
        <v>1142.221</v>
      </c>
      <c r="F94" s="304">
        <v>1042.7664126984128</v>
      </c>
      <c r="G94" s="272">
        <v>1234</v>
      </c>
      <c r="H94" s="273">
        <v>1234</v>
      </c>
      <c r="I94" s="284">
        <v>1234</v>
      </c>
      <c r="J94" s="363">
        <f t="shared" ref="J94:J97" si="12">IFERROR(SUM(G94:I94)/3/F94,"－")</f>
        <v>1.1833906280187176</v>
      </c>
      <c r="K94" s="272">
        <v>227</v>
      </c>
      <c r="L94" s="365">
        <f t="shared" ref="L94:L97" si="13">IFERROR(K94/F94,"－")</f>
        <v>0.21769017225303802</v>
      </c>
      <c r="N94" s="135"/>
      <c r="P94" s="135"/>
    </row>
    <row r="95" spans="1:16">
      <c r="A95" s="56"/>
      <c r="B95" s="782"/>
      <c r="C95" s="57" t="s">
        <v>21</v>
      </c>
      <c r="D95" s="291">
        <v>3.3333333333333335</v>
      </c>
      <c r="E95" s="269">
        <v>4.166666666666667</v>
      </c>
      <c r="F95" s="306">
        <v>2.6693121693121693</v>
      </c>
      <c r="G95" s="268">
        <v>3</v>
      </c>
      <c r="H95" s="269">
        <v>3</v>
      </c>
      <c r="I95" s="282">
        <v>3</v>
      </c>
      <c r="J95" s="363">
        <f t="shared" si="12"/>
        <v>1.1238850346878098</v>
      </c>
      <c r="K95" s="268">
        <v>1</v>
      </c>
      <c r="L95" s="365">
        <f t="shared" si="13"/>
        <v>0.37462834489593655</v>
      </c>
      <c r="N95" s="135"/>
      <c r="P95" s="135"/>
    </row>
    <row r="96" spans="1:16">
      <c r="A96" s="56"/>
      <c r="B96" s="781" t="s">
        <v>56</v>
      </c>
      <c r="C96" s="57" t="s">
        <v>20</v>
      </c>
      <c r="D96" s="303">
        <v>4203.2820000000002</v>
      </c>
      <c r="E96" s="273">
        <v>4336.2209999999995</v>
      </c>
      <c r="F96" s="304">
        <v>3441.8937651515153</v>
      </c>
      <c r="G96" s="272">
        <v>5383</v>
      </c>
      <c r="H96" s="273">
        <v>5383</v>
      </c>
      <c r="I96" s="284">
        <v>5383</v>
      </c>
      <c r="J96" s="363">
        <f t="shared" si="12"/>
        <v>1.5639645983562296</v>
      </c>
      <c r="K96" s="272">
        <v>3808</v>
      </c>
      <c r="L96" s="365">
        <f t="shared" si="13"/>
        <v>1.1063676742598034</v>
      </c>
      <c r="N96" s="135"/>
      <c r="P96" s="135"/>
    </row>
    <row r="97" spans="1:16">
      <c r="A97" s="56"/>
      <c r="B97" s="782"/>
      <c r="C97" s="57" t="s">
        <v>21</v>
      </c>
      <c r="D97" s="291">
        <v>3.5</v>
      </c>
      <c r="E97" s="269">
        <v>3.1666666666666665</v>
      </c>
      <c r="F97" s="306">
        <v>2.7402146464646466</v>
      </c>
      <c r="G97" s="268">
        <v>4</v>
      </c>
      <c r="H97" s="269">
        <v>4</v>
      </c>
      <c r="I97" s="282">
        <v>4</v>
      </c>
      <c r="J97" s="363">
        <f t="shared" si="12"/>
        <v>1.4597396613293399</v>
      </c>
      <c r="K97" s="268">
        <v>3</v>
      </c>
      <c r="L97" s="365">
        <f t="shared" si="13"/>
        <v>1.0948047459970049</v>
      </c>
      <c r="N97" s="135"/>
      <c r="P97" s="135"/>
    </row>
    <row r="98" spans="1:16">
      <c r="A98" s="56"/>
      <c r="B98" s="781" t="s">
        <v>57</v>
      </c>
      <c r="C98" s="57" t="s">
        <v>20</v>
      </c>
      <c r="D98" s="303">
        <v>39266.002999999997</v>
      </c>
      <c r="E98" s="273">
        <v>45284.046999999999</v>
      </c>
      <c r="F98" s="304">
        <v>57182.982333333333</v>
      </c>
      <c r="G98" s="272">
        <v>58353</v>
      </c>
      <c r="H98" s="273">
        <v>58380</v>
      </c>
      <c r="I98" s="284">
        <v>58380</v>
      </c>
      <c r="J98" s="364">
        <f>IFERROR(SUM(G98:I98)/3/F98,"－")</f>
        <v>1.020775720646073</v>
      </c>
      <c r="K98" s="272">
        <v>54423</v>
      </c>
      <c r="L98" s="366">
        <f>IFERROR(K98/F98,"－")</f>
        <v>0.95173420096831018</v>
      </c>
      <c r="N98" s="135"/>
      <c r="P98" s="135"/>
    </row>
    <row r="99" spans="1:16" ht="14.25" thickBot="1">
      <c r="A99" s="90"/>
      <c r="B99" s="783"/>
      <c r="C99" s="75" t="s">
        <v>21</v>
      </c>
      <c r="D99" s="291">
        <v>18.666666666666668</v>
      </c>
      <c r="E99" s="269">
        <v>21.916666666666668</v>
      </c>
      <c r="F99" s="306">
        <v>26.837698412698412</v>
      </c>
      <c r="G99" s="278">
        <v>27</v>
      </c>
      <c r="H99" s="279">
        <v>27</v>
      </c>
      <c r="I99" s="287">
        <v>27</v>
      </c>
      <c r="J99" s="370">
        <f>IFERROR(SUM(G99:I99)/3/F99,"－")</f>
        <v>1.0060475225857965</v>
      </c>
      <c r="K99" s="278">
        <v>25</v>
      </c>
      <c r="L99" s="373">
        <f>IFERROR(K99/F99,"－")</f>
        <v>0.93152548387573753</v>
      </c>
      <c r="N99" s="135"/>
      <c r="P99" s="135"/>
    </row>
    <row r="100" spans="1:16">
      <c r="A100" s="68" t="s">
        <v>58</v>
      </c>
      <c r="B100" s="102"/>
      <c r="C100" s="91"/>
      <c r="D100" s="158"/>
      <c r="E100" s="64"/>
      <c r="F100" s="160"/>
      <c r="G100" s="63"/>
      <c r="H100" s="64"/>
      <c r="I100" s="65"/>
      <c r="J100" s="328"/>
      <c r="K100" s="66"/>
      <c r="L100" s="331"/>
    </row>
    <row r="101" spans="1:16">
      <c r="A101" s="92"/>
      <c r="B101" s="781" t="s">
        <v>59</v>
      </c>
      <c r="C101" s="57" t="s">
        <v>20</v>
      </c>
      <c r="D101" s="303">
        <v>0</v>
      </c>
      <c r="E101" s="273">
        <v>0</v>
      </c>
      <c r="F101" s="307">
        <v>0</v>
      </c>
      <c r="G101" s="304">
        <v>0</v>
      </c>
      <c r="H101" s="273">
        <v>0</v>
      </c>
      <c r="I101" s="284">
        <v>0</v>
      </c>
      <c r="J101" s="364" t="str">
        <f t="shared" ref="J101:J117" si="14">IFERROR(SUM(G101:I101)/3/F101,"－")</f>
        <v>－</v>
      </c>
      <c r="K101" s="272">
        <v>0</v>
      </c>
      <c r="L101" s="366" t="str">
        <f t="shared" ref="L101:L111" si="15">IFERROR(K101/F101,"－")</f>
        <v>－</v>
      </c>
      <c r="N101" s="135"/>
      <c r="P101" s="135"/>
    </row>
    <row r="102" spans="1:16">
      <c r="A102" s="92"/>
      <c r="B102" s="782"/>
      <c r="C102" s="57" t="s">
        <v>21</v>
      </c>
      <c r="D102" s="291">
        <v>0</v>
      </c>
      <c r="E102" s="269">
        <v>0</v>
      </c>
      <c r="F102" s="292">
        <v>0</v>
      </c>
      <c r="G102" s="306">
        <v>0</v>
      </c>
      <c r="H102" s="269">
        <v>0</v>
      </c>
      <c r="I102" s="282">
        <v>0</v>
      </c>
      <c r="J102" s="631" t="str">
        <f t="shared" si="14"/>
        <v>－</v>
      </c>
      <c r="K102" s="268">
        <v>0</v>
      </c>
      <c r="L102" s="365" t="str">
        <f t="shared" si="15"/>
        <v>－</v>
      </c>
      <c r="N102" s="135"/>
      <c r="P102" s="135"/>
    </row>
    <row r="103" spans="1:16">
      <c r="A103" s="67"/>
      <c r="B103" s="784" t="s">
        <v>60</v>
      </c>
      <c r="C103" s="57" t="s">
        <v>20</v>
      </c>
      <c r="D103" s="303">
        <v>0</v>
      </c>
      <c r="E103" s="273">
        <v>0</v>
      </c>
      <c r="F103" s="307">
        <v>0</v>
      </c>
      <c r="G103" s="304">
        <v>0</v>
      </c>
      <c r="H103" s="273">
        <v>0</v>
      </c>
      <c r="I103" s="284">
        <v>0</v>
      </c>
      <c r="J103" s="364" t="str">
        <f t="shared" si="14"/>
        <v>－</v>
      </c>
      <c r="K103" s="272">
        <v>0</v>
      </c>
      <c r="L103" s="366" t="str">
        <f t="shared" si="15"/>
        <v>－</v>
      </c>
      <c r="N103" s="135"/>
      <c r="P103" s="135"/>
    </row>
    <row r="104" spans="1:16">
      <c r="A104" s="68"/>
      <c r="B104" s="785"/>
      <c r="C104" s="57" t="s">
        <v>21</v>
      </c>
      <c r="D104" s="291">
        <v>0</v>
      </c>
      <c r="E104" s="269">
        <v>0</v>
      </c>
      <c r="F104" s="292">
        <v>0</v>
      </c>
      <c r="G104" s="306">
        <v>0</v>
      </c>
      <c r="H104" s="269">
        <v>0</v>
      </c>
      <c r="I104" s="282">
        <v>0</v>
      </c>
      <c r="J104" s="363" t="str">
        <f t="shared" si="14"/>
        <v>－</v>
      </c>
      <c r="K104" s="268">
        <v>0</v>
      </c>
      <c r="L104" s="365" t="str">
        <f t="shared" si="15"/>
        <v>－</v>
      </c>
      <c r="N104" s="135"/>
      <c r="P104" s="135"/>
    </row>
    <row r="105" spans="1:16">
      <c r="A105" s="67"/>
      <c r="B105" s="784" t="s">
        <v>61</v>
      </c>
      <c r="C105" s="57" t="s">
        <v>20</v>
      </c>
      <c r="D105" s="303">
        <v>270.45299999999997</v>
      </c>
      <c r="E105" s="273">
        <v>306.46800000000002</v>
      </c>
      <c r="F105" s="307">
        <v>639.05039999999997</v>
      </c>
      <c r="G105" s="304">
        <v>504</v>
      </c>
      <c r="H105" s="273">
        <v>504</v>
      </c>
      <c r="I105" s="284">
        <v>504</v>
      </c>
      <c r="J105" s="364">
        <f t="shared" si="14"/>
        <v>0.78867018939351263</v>
      </c>
      <c r="K105" s="272">
        <v>126</v>
      </c>
      <c r="L105" s="366">
        <f t="shared" si="15"/>
        <v>0.19716754734837816</v>
      </c>
      <c r="N105" s="135"/>
      <c r="P105" s="135"/>
    </row>
    <row r="106" spans="1:16">
      <c r="A106" s="68"/>
      <c r="B106" s="786"/>
      <c r="C106" s="57" t="s">
        <v>23</v>
      </c>
      <c r="D106" s="293">
        <v>4</v>
      </c>
      <c r="E106" s="271">
        <v>4.5</v>
      </c>
      <c r="F106" s="294">
        <v>10.199999999999999</v>
      </c>
      <c r="G106" s="305">
        <v>8</v>
      </c>
      <c r="H106" s="271">
        <v>8</v>
      </c>
      <c r="I106" s="283">
        <v>8</v>
      </c>
      <c r="J106" s="363">
        <f t="shared" si="14"/>
        <v>0.78431372549019618</v>
      </c>
      <c r="K106" s="270">
        <v>2</v>
      </c>
      <c r="L106" s="365">
        <f t="shared" si="15"/>
        <v>0.19607843137254904</v>
      </c>
      <c r="N106" s="135"/>
      <c r="P106" s="135"/>
    </row>
    <row r="107" spans="1:16">
      <c r="A107" s="68"/>
      <c r="B107" s="69"/>
      <c r="C107" s="57" t="s">
        <v>21</v>
      </c>
      <c r="D107" s="291">
        <v>0.91666666666666663</v>
      </c>
      <c r="E107" s="269">
        <v>1.0833333333333333</v>
      </c>
      <c r="F107" s="292">
        <v>1.6</v>
      </c>
      <c r="G107" s="306">
        <v>3</v>
      </c>
      <c r="H107" s="269">
        <v>3</v>
      </c>
      <c r="I107" s="282">
        <v>3</v>
      </c>
      <c r="J107" s="363">
        <f t="shared" si="14"/>
        <v>1.875</v>
      </c>
      <c r="K107" s="268">
        <v>1</v>
      </c>
      <c r="L107" s="365">
        <f t="shared" si="15"/>
        <v>0.625</v>
      </c>
      <c r="N107" s="135"/>
      <c r="P107" s="135"/>
    </row>
    <row r="108" spans="1:16">
      <c r="A108" s="67"/>
      <c r="B108" s="784" t="s">
        <v>62</v>
      </c>
      <c r="C108" s="57" t="s">
        <v>20</v>
      </c>
      <c r="D108" s="303">
        <v>0</v>
      </c>
      <c r="E108" s="273">
        <v>0</v>
      </c>
      <c r="F108" s="307">
        <v>0</v>
      </c>
      <c r="G108" s="304">
        <v>0</v>
      </c>
      <c r="H108" s="273">
        <v>0</v>
      </c>
      <c r="I108" s="284">
        <v>0</v>
      </c>
      <c r="J108" s="364" t="str">
        <f t="shared" si="14"/>
        <v>－</v>
      </c>
      <c r="K108" s="272">
        <v>0</v>
      </c>
      <c r="L108" s="366" t="str">
        <f t="shared" si="15"/>
        <v>－</v>
      </c>
      <c r="N108" s="135"/>
      <c r="P108" s="135"/>
    </row>
    <row r="109" spans="1:16">
      <c r="A109" s="68"/>
      <c r="B109" s="785"/>
      <c r="C109" s="57" t="s">
        <v>21</v>
      </c>
      <c r="D109" s="291">
        <v>0</v>
      </c>
      <c r="E109" s="269">
        <v>0</v>
      </c>
      <c r="F109" s="292">
        <v>0</v>
      </c>
      <c r="G109" s="306">
        <v>0</v>
      </c>
      <c r="H109" s="269">
        <v>0</v>
      </c>
      <c r="I109" s="282">
        <v>0</v>
      </c>
      <c r="J109" s="363" t="str">
        <f t="shared" si="14"/>
        <v>－</v>
      </c>
      <c r="K109" s="268">
        <v>0</v>
      </c>
      <c r="L109" s="365" t="str">
        <f t="shared" si="15"/>
        <v>－</v>
      </c>
      <c r="N109" s="135"/>
      <c r="P109" s="135"/>
    </row>
    <row r="110" spans="1:16">
      <c r="A110" s="56"/>
      <c r="B110" s="781" t="s">
        <v>63</v>
      </c>
      <c r="C110" s="57" t="s">
        <v>20</v>
      </c>
      <c r="D110" s="303">
        <v>246188.59099999999</v>
      </c>
      <c r="E110" s="273">
        <v>248605.94399999999</v>
      </c>
      <c r="F110" s="307">
        <v>252206.82610645497</v>
      </c>
      <c r="G110" s="304">
        <v>253143</v>
      </c>
      <c r="H110" s="273">
        <v>253256</v>
      </c>
      <c r="I110" s="284">
        <v>253256</v>
      </c>
      <c r="J110" s="364">
        <f t="shared" si="14"/>
        <v>1.0040106258918282</v>
      </c>
      <c r="K110" s="272">
        <v>219475</v>
      </c>
      <c r="L110" s="366">
        <f t="shared" si="15"/>
        <v>0.87021831799017579</v>
      </c>
      <c r="N110" s="135"/>
      <c r="P110" s="135"/>
    </row>
    <row r="111" spans="1:16">
      <c r="A111" s="68"/>
      <c r="B111" s="782"/>
      <c r="C111" s="57" t="s">
        <v>21</v>
      </c>
      <c r="D111" s="291">
        <v>89.5</v>
      </c>
      <c r="E111" s="269">
        <v>90.416666666666671</v>
      </c>
      <c r="F111" s="292">
        <v>90.770547285867821</v>
      </c>
      <c r="G111" s="306">
        <v>91</v>
      </c>
      <c r="H111" s="269">
        <v>91</v>
      </c>
      <c r="I111" s="282">
        <v>91</v>
      </c>
      <c r="J111" s="363">
        <f t="shared" si="14"/>
        <v>1.0025278322208364</v>
      </c>
      <c r="K111" s="268">
        <v>79</v>
      </c>
      <c r="L111" s="365">
        <f t="shared" si="15"/>
        <v>0.8703263598400669</v>
      </c>
      <c r="N111" s="135"/>
      <c r="P111" s="135"/>
    </row>
    <row r="112" spans="1:16">
      <c r="A112" s="68"/>
      <c r="B112" s="781" t="s">
        <v>64</v>
      </c>
      <c r="C112" s="57" t="s">
        <v>20</v>
      </c>
      <c r="D112" s="303">
        <v>0</v>
      </c>
      <c r="E112" s="273">
        <v>0</v>
      </c>
      <c r="F112" s="307">
        <v>0</v>
      </c>
      <c r="G112" s="304">
        <v>0</v>
      </c>
      <c r="H112" s="273">
        <v>0</v>
      </c>
      <c r="I112" s="284">
        <v>0</v>
      </c>
      <c r="J112" s="364" t="str">
        <f t="shared" si="14"/>
        <v>－</v>
      </c>
      <c r="K112" s="272">
        <v>0</v>
      </c>
      <c r="L112" s="365" t="str">
        <f t="shared" ref="L112:L113" si="16">IFERROR(K112/F112,"－")</f>
        <v>－</v>
      </c>
      <c r="N112" s="135"/>
      <c r="P112" s="135"/>
    </row>
    <row r="113" spans="1:16">
      <c r="A113" s="68"/>
      <c r="B113" s="782"/>
      <c r="C113" s="57" t="s">
        <v>21</v>
      </c>
      <c r="D113" s="291">
        <v>0</v>
      </c>
      <c r="E113" s="269">
        <v>0</v>
      </c>
      <c r="F113" s="292">
        <v>0</v>
      </c>
      <c r="G113" s="306">
        <v>0</v>
      </c>
      <c r="H113" s="269">
        <v>0</v>
      </c>
      <c r="I113" s="282">
        <v>0</v>
      </c>
      <c r="J113" s="363" t="str">
        <f t="shared" si="14"/>
        <v>－</v>
      </c>
      <c r="K113" s="268">
        <v>0</v>
      </c>
      <c r="L113" s="365" t="str">
        <f t="shared" si="16"/>
        <v>－</v>
      </c>
      <c r="N113" s="135"/>
      <c r="P113" s="135"/>
    </row>
    <row r="114" spans="1:16">
      <c r="A114" s="56"/>
      <c r="B114" s="781" t="s">
        <v>65</v>
      </c>
      <c r="C114" s="57" t="s">
        <v>20</v>
      </c>
      <c r="D114" s="303">
        <v>59836.784</v>
      </c>
      <c r="E114" s="273">
        <v>58702.606999999996</v>
      </c>
      <c r="F114" s="307">
        <v>66294.393878787872</v>
      </c>
      <c r="G114" s="304">
        <v>64750</v>
      </c>
      <c r="H114" s="273">
        <v>64779</v>
      </c>
      <c r="I114" s="284">
        <v>64779</v>
      </c>
      <c r="J114" s="364">
        <f t="shared" si="14"/>
        <v>0.97699563332243533</v>
      </c>
      <c r="K114" s="272">
        <v>68472</v>
      </c>
      <c r="L114" s="366">
        <f>IFERROR(K114/F114,"－")</f>
        <v>1.032847515359951</v>
      </c>
      <c r="N114" s="135"/>
      <c r="P114" s="135"/>
    </row>
    <row r="115" spans="1:16">
      <c r="A115" s="68"/>
      <c r="B115" s="782"/>
      <c r="C115" s="57" t="s">
        <v>21</v>
      </c>
      <c r="D115" s="291">
        <v>20.166666666666668</v>
      </c>
      <c r="E115" s="269">
        <v>20.083333333333332</v>
      </c>
      <c r="F115" s="292">
        <v>20.744949494949495</v>
      </c>
      <c r="G115" s="306">
        <v>20</v>
      </c>
      <c r="H115" s="269">
        <v>20</v>
      </c>
      <c r="I115" s="282">
        <v>20</v>
      </c>
      <c r="J115" s="363">
        <f t="shared" si="14"/>
        <v>0.96409007912355449</v>
      </c>
      <c r="K115" s="268">
        <v>20</v>
      </c>
      <c r="L115" s="365">
        <f>IFERROR(K115/F115,"－")</f>
        <v>0.96409007912355449</v>
      </c>
      <c r="N115" s="135"/>
      <c r="P115" s="135"/>
    </row>
    <row r="116" spans="1:16">
      <c r="A116" s="56"/>
      <c r="B116" s="781" t="s">
        <v>102</v>
      </c>
      <c r="C116" s="57" t="s">
        <v>20</v>
      </c>
      <c r="D116" s="303">
        <v>35514.911</v>
      </c>
      <c r="E116" s="273">
        <v>36899.137999999999</v>
      </c>
      <c r="F116" s="307">
        <v>43941.97302669553</v>
      </c>
      <c r="G116" s="304">
        <v>38115</v>
      </c>
      <c r="H116" s="273">
        <v>38132</v>
      </c>
      <c r="I116" s="284">
        <v>38132</v>
      </c>
      <c r="J116" s="364">
        <f t="shared" si="14"/>
        <v>0.86765183052137673</v>
      </c>
      <c r="K116" s="272">
        <v>38132</v>
      </c>
      <c r="L116" s="366">
        <f>IFERROR(K116/F116,"－")</f>
        <v>0.86778078846924178</v>
      </c>
      <c r="N116" s="135"/>
      <c r="P116" s="135"/>
    </row>
    <row r="117" spans="1:16">
      <c r="A117" s="68"/>
      <c r="B117" s="782"/>
      <c r="C117" s="57" t="s">
        <v>21</v>
      </c>
      <c r="D117" s="291">
        <v>14.833333333333334</v>
      </c>
      <c r="E117" s="269">
        <v>13.666666666666666</v>
      </c>
      <c r="F117" s="292">
        <v>14.26509139009139</v>
      </c>
      <c r="G117" s="308">
        <v>13</v>
      </c>
      <c r="H117" s="275">
        <v>13</v>
      </c>
      <c r="I117" s="285">
        <v>13</v>
      </c>
      <c r="J117" s="367">
        <f t="shared" si="14"/>
        <v>0.91131557762257809</v>
      </c>
      <c r="K117" s="274">
        <v>13</v>
      </c>
      <c r="L117" s="368">
        <f>IFERROR(K117/F117,"－")</f>
        <v>0.91131557762257809</v>
      </c>
      <c r="N117" s="135"/>
      <c r="P117" s="135"/>
    </row>
    <row r="118" spans="1:16">
      <c r="A118" s="56"/>
      <c r="B118" s="784" t="s">
        <v>104</v>
      </c>
      <c r="C118" s="57" t="s">
        <v>20</v>
      </c>
      <c r="D118" s="303"/>
      <c r="E118" s="273">
        <v>19470.488000000001</v>
      </c>
      <c r="F118" s="307">
        <v>29251.893095632771</v>
      </c>
      <c r="G118" s="304">
        <v>22861</v>
      </c>
      <c r="H118" s="273">
        <v>22872</v>
      </c>
      <c r="I118" s="284">
        <v>22872</v>
      </c>
      <c r="J118" s="364">
        <f t="shared" ref="J118:J120" si="17">IFERROR(SUM(G118:I118)/3/F118,"－")</f>
        <v>0.78177276453767408</v>
      </c>
      <c r="K118" s="272">
        <v>22872</v>
      </c>
      <c r="L118" s="368">
        <f t="shared" ref="L118:L120" si="18">IFERROR(K118/F118,"－")</f>
        <v>0.78189811255035413</v>
      </c>
      <c r="N118" s="135"/>
      <c r="P118" s="135"/>
    </row>
    <row r="119" spans="1:16">
      <c r="A119" s="56"/>
      <c r="B119" s="786"/>
      <c r="C119" s="57" t="s">
        <v>23</v>
      </c>
      <c r="D119" s="293"/>
      <c r="E119" s="271">
        <v>220.81818181818181</v>
      </c>
      <c r="F119" s="294">
        <v>307.40441378915034</v>
      </c>
      <c r="G119" s="305">
        <v>236.2</v>
      </c>
      <c r="H119" s="271">
        <v>236.2</v>
      </c>
      <c r="I119" s="283">
        <v>236.2</v>
      </c>
      <c r="J119" s="363">
        <f t="shared" si="17"/>
        <v>0.76836892837202486</v>
      </c>
      <c r="K119" s="270">
        <v>236.2</v>
      </c>
      <c r="L119" s="368">
        <f t="shared" si="18"/>
        <v>0.76836892837202497</v>
      </c>
      <c r="N119" s="135"/>
      <c r="P119" s="135"/>
    </row>
    <row r="120" spans="1:16" ht="14.25" thickBot="1">
      <c r="A120" s="56"/>
      <c r="B120" s="93"/>
      <c r="C120" s="57" t="s">
        <v>21</v>
      </c>
      <c r="D120" s="291"/>
      <c r="E120" s="269">
        <v>13.090909090909092</v>
      </c>
      <c r="F120" s="292">
        <v>13.971763085399449</v>
      </c>
      <c r="G120" s="306">
        <v>14</v>
      </c>
      <c r="H120" s="269">
        <v>14</v>
      </c>
      <c r="I120" s="282">
        <v>14</v>
      </c>
      <c r="J120" s="363">
        <f t="shared" si="17"/>
        <v>1.0020209986690984</v>
      </c>
      <c r="K120" s="268">
        <v>14</v>
      </c>
      <c r="L120" s="368">
        <f t="shared" si="18"/>
        <v>1.0020209986690984</v>
      </c>
      <c r="N120" s="135"/>
      <c r="P120" s="135"/>
    </row>
    <row r="121" spans="1:16">
      <c r="A121" s="94" t="s">
        <v>66</v>
      </c>
      <c r="B121" s="95"/>
      <c r="C121" s="62"/>
      <c r="D121" s="158"/>
      <c r="E121" s="64"/>
      <c r="F121" s="160"/>
      <c r="G121" s="63"/>
      <c r="H121" s="64"/>
      <c r="I121" s="65"/>
      <c r="J121" s="328"/>
      <c r="K121" s="66"/>
      <c r="L121" s="331"/>
    </row>
    <row r="122" spans="1:16">
      <c r="A122" s="56"/>
      <c r="B122" s="781" t="s">
        <v>67</v>
      </c>
      <c r="C122" s="57" t="s">
        <v>20</v>
      </c>
      <c r="D122" s="291">
        <v>511503.04399999999</v>
      </c>
      <c r="E122" s="269">
        <v>497195.152</v>
      </c>
      <c r="F122" s="292">
        <v>545773.11656514509</v>
      </c>
      <c r="G122" s="304">
        <v>538275</v>
      </c>
      <c r="H122" s="273">
        <v>538516</v>
      </c>
      <c r="I122" s="284">
        <v>538516</v>
      </c>
      <c r="J122" s="364">
        <f t="shared" ref="J122:J132" si="19">IFERROR(SUM(G122:I122)/3/F122,"－")</f>
        <v>0.98655586052926691</v>
      </c>
      <c r="K122" s="272">
        <v>520021</v>
      </c>
      <c r="L122" s="366">
        <f t="shared" ref="L122:L132" si="20">IFERROR(K122/F122,"－")</f>
        <v>0.95281534435551252</v>
      </c>
      <c r="N122" s="135"/>
      <c r="P122" s="135"/>
    </row>
    <row r="123" spans="1:16">
      <c r="A123" s="68"/>
      <c r="B123" s="782"/>
      <c r="C123" s="57" t="s">
        <v>21</v>
      </c>
      <c r="D123" s="291">
        <v>183.5</v>
      </c>
      <c r="E123" s="269">
        <v>180.25</v>
      </c>
      <c r="F123" s="292">
        <v>188.95363559465622</v>
      </c>
      <c r="G123" s="306">
        <v>185</v>
      </c>
      <c r="H123" s="269">
        <v>185</v>
      </c>
      <c r="I123" s="282">
        <v>185</v>
      </c>
      <c r="J123" s="363">
        <f t="shared" si="19"/>
        <v>0.97907616023256849</v>
      </c>
      <c r="K123" s="268">
        <v>178</v>
      </c>
      <c r="L123" s="365">
        <f t="shared" si="20"/>
        <v>0.94203003525079565</v>
      </c>
      <c r="N123" s="135"/>
      <c r="P123" s="135"/>
    </row>
    <row r="124" spans="1:16">
      <c r="A124" s="68"/>
      <c r="B124" s="781" t="s">
        <v>70</v>
      </c>
      <c r="C124" s="57" t="s">
        <v>20</v>
      </c>
      <c r="D124" s="291">
        <v>344499.53899999999</v>
      </c>
      <c r="E124" s="269">
        <v>360029.755</v>
      </c>
      <c r="F124" s="292">
        <v>381326.8256613909</v>
      </c>
      <c r="G124" s="304">
        <v>369899</v>
      </c>
      <c r="H124" s="273">
        <v>370065</v>
      </c>
      <c r="I124" s="284">
        <v>370065</v>
      </c>
      <c r="J124" s="364">
        <f t="shared" si="19"/>
        <v>0.97032162902493102</v>
      </c>
      <c r="K124" s="272">
        <v>345834</v>
      </c>
      <c r="L124" s="366">
        <f t="shared" si="20"/>
        <v>0.90692281981517953</v>
      </c>
      <c r="N124" s="135"/>
      <c r="P124" s="135"/>
    </row>
    <row r="125" spans="1:16">
      <c r="A125" s="68"/>
      <c r="B125" s="782"/>
      <c r="C125" s="57" t="s">
        <v>21</v>
      </c>
      <c r="D125" s="291">
        <v>108.25</v>
      </c>
      <c r="E125" s="269">
        <v>114</v>
      </c>
      <c r="F125" s="292">
        <v>120.91081554393259</v>
      </c>
      <c r="G125" s="306">
        <v>117</v>
      </c>
      <c r="H125" s="269">
        <v>117</v>
      </c>
      <c r="I125" s="282">
        <v>117</v>
      </c>
      <c r="J125" s="363">
        <f t="shared" si="19"/>
        <v>0.96765537039561522</v>
      </c>
      <c r="K125" s="268">
        <v>109</v>
      </c>
      <c r="L125" s="365">
        <f t="shared" si="20"/>
        <v>0.90149090062497494</v>
      </c>
      <c r="N125" s="135"/>
      <c r="P125" s="135"/>
    </row>
    <row r="126" spans="1:16">
      <c r="A126" s="68"/>
      <c r="B126" s="375" t="s">
        <v>243</v>
      </c>
      <c r="C126" s="57" t="s">
        <v>246</v>
      </c>
      <c r="D126" s="611"/>
      <c r="E126" s="612"/>
      <c r="F126" s="613"/>
      <c r="G126" s="306">
        <v>0</v>
      </c>
      <c r="H126" s="269">
        <v>0</v>
      </c>
      <c r="I126" s="282">
        <v>4315</v>
      </c>
      <c r="J126" s="363" t="str">
        <f t="shared" si="19"/>
        <v>－</v>
      </c>
      <c r="K126" s="268">
        <v>131805</v>
      </c>
      <c r="L126" s="365" t="str">
        <f t="shared" si="20"/>
        <v>－</v>
      </c>
      <c r="N126" s="135"/>
      <c r="P126" s="135"/>
    </row>
    <row r="127" spans="1:16">
      <c r="A127" s="68"/>
      <c r="B127" s="375" t="s">
        <v>244</v>
      </c>
      <c r="C127" s="57" t="s">
        <v>247</v>
      </c>
      <c r="D127" s="611"/>
      <c r="E127" s="612"/>
      <c r="F127" s="613"/>
      <c r="G127" s="306">
        <v>0</v>
      </c>
      <c r="H127" s="269">
        <v>0</v>
      </c>
      <c r="I127" s="282">
        <v>1</v>
      </c>
      <c r="J127" s="363" t="str">
        <f t="shared" si="19"/>
        <v>－</v>
      </c>
      <c r="K127" s="268">
        <v>32</v>
      </c>
      <c r="L127" s="365" t="str">
        <f t="shared" si="20"/>
        <v>－</v>
      </c>
      <c r="N127" s="135"/>
      <c r="P127" s="135"/>
    </row>
    <row r="128" spans="1:16">
      <c r="A128" s="56"/>
      <c r="B128" s="781" t="s">
        <v>245</v>
      </c>
      <c r="C128" s="57" t="s">
        <v>20</v>
      </c>
      <c r="D128" s="291">
        <v>166522.967</v>
      </c>
      <c r="E128" s="269">
        <v>162725.20800000001</v>
      </c>
      <c r="F128" s="292">
        <v>151958.03363747321</v>
      </c>
      <c r="G128" s="304">
        <v>135829</v>
      </c>
      <c r="H128" s="273">
        <v>135890</v>
      </c>
      <c r="I128" s="284">
        <v>131576</v>
      </c>
      <c r="J128" s="364">
        <f t="shared" si="19"/>
        <v>0.88466311025964395</v>
      </c>
      <c r="K128" s="614"/>
      <c r="L128" s="615"/>
      <c r="N128" s="135"/>
      <c r="P128" s="135"/>
    </row>
    <row r="129" spans="1:16" ht="14.25" thickBot="1">
      <c r="A129" s="96"/>
      <c r="B129" s="783"/>
      <c r="C129" s="75" t="s">
        <v>21</v>
      </c>
      <c r="D129" s="298">
        <v>39.916666666666664</v>
      </c>
      <c r="E129" s="275">
        <v>40.333333333333336</v>
      </c>
      <c r="F129" s="299">
        <v>37.17562728533602</v>
      </c>
      <c r="G129" s="309">
        <v>33</v>
      </c>
      <c r="H129" s="279">
        <v>33</v>
      </c>
      <c r="I129" s="287">
        <v>32</v>
      </c>
      <c r="J129" s="370">
        <f t="shared" si="19"/>
        <v>0.87871191563059592</v>
      </c>
      <c r="K129" s="616"/>
      <c r="L129" s="617"/>
      <c r="N129" s="135"/>
      <c r="P129" s="135"/>
    </row>
    <row r="130" spans="1:16">
      <c r="A130" s="92" t="s">
        <v>71</v>
      </c>
      <c r="B130" s="97"/>
      <c r="C130" s="98" t="s">
        <v>20</v>
      </c>
      <c r="D130" s="310">
        <v>105568.946</v>
      </c>
      <c r="E130" s="277">
        <v>110055.63</v>
      </c>
      <c r="F130" s="311">
        <v>106157.26032780562</v>
      </c>
      <c r="G130" s="312">
        <v>108908</v>
      </c>
      <c r="H130" s="277">
        <v>108957</v>
      </c>
      <c r="I130" s="286">
        <v>108957</v>
      </c>
      <c r="J130" s="369">
        <f t="shared" si="19"/>
        <v>1.0262196512067672</v>
      </c>
      <c r="K130" s="276">
        <v>106922</v>
      </c>
      <c r="L130" s="372">
        <f t="shared" si="20"/>
        <v>1.0072038376822547</v>
      </c>
      <c r="N130" s="135"/>
      <c r="P130" s="135"/>
    </row>
    <row r="131" spans="1:16" ht="14.25" thickBot="1">
      <c r="A131" s="73"/>
      <c r="B131" s="74"/>
      <c r="C131" s="75" t="s">
        <v>21</v>
      </c>
      <c r="D131" s="300">
        <v>512</v>
      </c>
      <c r="E131" s="279">
        <v>530.5</v>
      </c>
      <c r="F131" s="301">
        <v>507.0770155570267</v>
      </c>
      <c r="G131" s="309">
        <v>520</v>
      </c>
      <c r="H131" s="279">
        <v>520</v>
      </c>
      <c r="I131" s="287">
        <v>520</v>
      </c>
      <c r="J131" s="370">
        <f t="shared" si="19"/>
        <v>1.0254852498663882</v>
      </c>
      <c r="K131" s="278">
        <v>510</v>
      </c>
      <c r="L131" s="373">
        <f t="shared" si="20"/>
        <v>1.00576437967665</v>
      </c>
      <c r="N131" s="135"/>
      <c r="P131" s="135"/>
    </row>
    <row r="132" spans="1:16" ht="14.25" thickBot="1">
      <c r="A132" s="76" t="s">
        <v>41</v>
      </c>
      <c r="B132" s="111"/>
      <c r="C132" s="77" t="s">
        <v>20</v>
      </c>
      <c r="D132" s="288">
        <f>IF(ISERROR(SUM(D63,D66,D69,D72,D75,D77,D80,D83,D86,D89,D92,D94,D96,D98,D101,D103,D105,D108,D110,D112,D114,D116,D118,D122,D124,D128,D130)),0,(SUM(D63,D66,D69,D72,D75,D77,D80,D83,D86,D89,D92,D94,D96,D98,D101,D103,D105,D108,D110,D112,D114,D116,D118,D122,D124,D128,D130)))</f>
        <v>2214729.9440000006</v>
      </c>
      <c r="E132" s="289">
        <f>IF(ISERROR(SUM(E63,E66,E69,E72,E75,E77,E80,E83,E86,E89,E92,E94,E96,E98,E101,E103,E105,E108,E110,E112,E114,E116,E118,E122,E124,E128,E130)),0,(SUM(E63,E66,E69,E72,E75,E77,E80,E83,E86,E89,E92,E94,E96,E98,E101,E103,E105,E108,E110,E112,E114,E116,E118,E122,E124,E128,E130)))</f>
        <v>2242270.8575454545</v>
      </c>
      <c r="F132" s="290">
        <f>IF(ISERROR(SUM(F63,F66,F69,F72,F75,F77,F80,F83,F86,F89,F92,F94,F96,F98,F101,F103,F105,F108,F110,F112,F114,F116,F118,F122,F124,F128,F130)),0,(SUM(F63,F66,F69,F72,F75,F77,F80,F83,F86,F89,F92,F94,F96,F98,F101,F103,F105,F108,F110,F112,F114,F116,F118,F122,F124,F128,F130)))</f>
        <v>2345814.3028214602</v>
      </c>
      <c r="G132" s="302">
        <f>IF(ISERROR(SUM(G63,G66,G69,G72,G75,G77,G80,G83,G86,G89,G92,G94,G96,G98,G101,G103,G105,G108,G110,G112,G114,G116,G118,G122,G124,G126,G128,G130)),0,(SUM(G63,G66,G69,G72,G75,G77,G80,G83,G86,G89,G92,G94,G96,G98,G101,G103,G105,G108,G110,G112,G114,G116,G118,G122,G124,G126,G128,G130)))</f>
        <v>2302288</v>
      </c>
      <c r="H132" s="289">
        <f>IF(ISERROR(SUM(H63,H66,H69,H72,H75,H77,H80,H83,H86,H89,H92,H94,H96,H98,H101,H103,H105,H108,H110,H112,H114,H116,H118,H122,H124,H126,H128,H130)),0,(SUM(H63,H66,H69,H72,H75,H77,H80,H83,H86,H89,H92,H94,H96,H98,H101,H103,H105,H108,H110,H112,H114,H116,H118,H122,H124,H126,H128,H130)))</f>
        <v>2302989</v>
      </c>
      <c r="I132" s="289">
        <f>IF(ISERROR(SUM(I63,I66,I69,I72,I75,I77,I80,I83,I86,I89,I92,I94,I96,I98,I101,I103,I105,I108,I110,I112,I114,I116,I118,I122,I124,I126,I128,I130)),0,(SUM(I63,I66,I69,I72,I75,I77,I80,I83,I86,I89,I92,I94,I96,I98,I101,I103,I105,I108,I110,I112,I114,I116,I118,I122,I124,I126,I128,I130)))</f>
        <v>2302280</v>
      </c>
      <c r="J132" s="371">
        <f t="shared" si="19"/>
        <v>0.98154359329748042</v>
      </c>
      <c r="K132" s="302">
        <f>IF(ISERROR(SUM(K63,K66,K69,K72,K75,K77,K80,K83,K86,K89,K92,K94,K96,K98,K101,K103,K105,K108,K110,K112,K114,K116,K118,K122,K124,K126,K130)),0,(SUM(K63,K66,K69,K72,K75,K77,K80,K83,K86,K89,K92,K94,K96,K98,K101,K103,K105,K108,K110,K112,K114,K116,K118,K122,K124,K126,K130)))</f>
        <v>2153017</v>
      </c>
      <c r="L132" s="374">
        <f t="shared" si="20"/>
        <v>0.91781220594078117</v>
      </c>
      <c r="N132" s="135"/>
      <c r="P132" s="135"/>
    </row>
    <row r="133" spans="1:16">
      <c r="A133" s="50" t="s">
        <v>121</v>
      </c>
      <c r="G133" s="313" t="s">
        <v>117</v>
      </c>
      <c r="H133" s="223"/>
      <c r="I133" s="223"/>
      <c r="J133" s="223"/>
      <c r="K133" s="760" t="s">
        <v>118</v>
      </c>
      <c r="L133" s="760"/>
      <c r="M133" s="760"/>
    </row>
    <row r="134" spans="1:16">
      <c r="G134" s="596"/>
      <c r="H134" s="137"/>
      <c r="I134" s="137"/>
      <c r="J134" s="137"/>
      <c r="K134" s="760"/>
      <c r="L134" s="760"/>
      <c r="M134" s="760"/>
    </row>
    <row r="135" spans="1:16">
      <c r="A135" s="82" t="s">
        <v>242</v>
      </c>
      <c r="D135" s="575"/>
      <c r="G135" s="115"/>
      <c r="H135" s="115"/>
      <c r="I135" s="115"/>
      <c r="J135" s="115"/>
      <c r="K135" s="760"/>
      <c r="L135" s="760"/>
      <c r="M135" s="760"/>
    </row>
    <row r="136" spans="1:16" ht="14.25" thickBot="1">
      <c r="A136" s="82"/>
    </row>
    <row r="137" spans="1:16" ht="14.25" thickBot="1">
      <c r="A137" s="110"/>
      <c r="B137" s="111"/>
      <c r="C137" s="112"/>
      <c r="D137" s="107" t="s">
        <v>105</v>
      </c>
      <c r="E137" s="132" t="s">
        <v>106</v>
      </c>
      <c r="F137" s="109" t="s">
        <v>2</v>
      </c>
      <c r="G137" s="107" t="s">
        <v>72</v>
      </c>
      <c r="H137" s="132" t="s">
        <v>73</v>
      </c>
      <c r="I137" s="109" t="s">
        <v>3</v>
      </c>
      <c r="J137" s="133" t="s">
        <v>248</v>
      </c>
    </row>
    <row r="138" spans="1:16">
      <c r="A138" s="576" t="s">
        <v>41</v>
      </c>
      <c r="B138" s="166"/>
      <c r="C138" s="577"/>
      <c r="D138" s="578">
        <f>D56+D132</f>
        <v>2311171.6500000004</v>
      </c>
      <c r="E138" s="579">
        <f>E56+E132</f>
        <v>2328982.9746363638</v>
      </c>
      <c r="F138" s="589">
        <f>F56+F132</f>
        <v>2426260.7464801362</v>
      </c>
      <c r="G138" s="592">
        <f t="shared" ref="G138:I138" si="21">G56+G132</f>
        <v>2330836</v>
      </c>
      <c r="H138" s="579">
        <f t="shared" si="21"/>
        <v>2331548</v>
      </c>
      <c r="I138" s="589">
        <f t="shared" si="21"/>
        <v>2330839</v>
      </c>
      <c r="J138" s="593">
        <f>K56+K132</f>
        <v>2175818</v>
      </c>
    </row>
    <row r="139" spans="1:16">
      <c r="A139" s="580"/>
      <c r="B139" s="171" t="s">
        <v>158</v>
      </c>
      <c r="C139" s="581"/>
      <c r="D139" s="686">
        <f>D12+D14+D17+D20+D23+D25+D27+D29+D32+D35+D38+D40+D42+D47+D50+D54+D63+D66+D69+D72+D75+D77+D80+D83+D86+D89+D92+D94+D96+D101+D103+D105+D108+D116+D118+D130</f>
        <v>941417.88300000003</v>
      </c>
      <c r="E139" s="583">
        <f>E12+E14+E17+E20+E23+E25+E27+E29+E32+E35+E38+E40+E42+E47+E50+E54+E63+E66+E69+E72+E75+E77+E80+E83+E86+E89+E92+E94+E96+E101+E103+E105+E108+E116+E118+E130</f>
        <v>955125.00063636363</v>
      </c>
      <c r="F139" s="687">
        <f>F12+F14+F17+F20+F23+F25+F27+F29+F32+F35+F38+F40+F42+F47+F50+F54+F63+F66+F69+F72+F75+F77+F80+F83+F86+F89+F92+F94+F96+F101+F103+F105+F108+F116+F118+F130</f>
        <v>971436.3802975507</v>
      </c>
      <c r="G139" s="582">
        <f t="shared" ref="G139:I139" si="22">G14+G17+G20+G23+G27+G29+G32+G35+G38+G40+G42+G47+G50+G54+G63+G66+G69+G72+G75+G77+G80+G83+G86+G89+G92+G94+G96+G101+G103+G105+G108+G116+G118+G130</f>
        <v>910587</v>
      </c>
      <c r="H139" s="583">
        <f t="shared" si="22"/>
        <v>910662</v>
      </c>
      <c r="I139" s="590">
        <f t="shared" si="22"/>
        <v>909952</v>
      </c>
      <c r="J139" s="594">
        <f>K14+K17+K20+K23+K27+K29+K32+K35+K38+K40+K42+K47+K50+K54+K63+K66+K69+K72+K75+K77+K80+K83+K86+K89+K92+K94+K96+K101+K103+K105+K108+K116+K118+K130</f>
        <v>835788</v>
      </c>
    </row>
    <row r="140" spans="1:16">
      <c r="A140" s="580"/>
      <c r="B140" s="171" t="s">
        <v>159</v>
      </c>
      <c r="C140" s="581"/>
      <c r="D140" s="582">
        <f>D44+D52+D98+D110+D112</f>
        <v>287391.43299999996</v>
      </c>
      <c r="E140" s="583">
        <f t="shared" ref="E140:I140" si="23">E44+E52+E98+E110+E112</f>
        <v>295205.25199999998</v>
      </c>
      <c r="F140" s="590">
        <f t="shared" si="23"/>
        <v>309471.99643978832</v>
      </c>
      <c r="G140" s="582">
        <f t="shared" si="23"/>
        <v>311496</v>
      </c>
      <c r="H140" s="583">
        <f t="shared" si="23"/>
        <v>311636</v>
      </c>
      <c r="I140" s="590">
        <f t="shared" si="23"/>
        <v>311636</v>
      </c>
      <c r="J140" s="594">
        <f>K44+K52+K98+K110+K112</f>
        <v>273898</v>
      </c>
    </row>
    <row r="141" spans="1:16" ht="14.25" thickBot="1">
      <c r="A141" s="584"/>
      <c r="B141" s="585" t="s">
        <v>160</v>
      </c>
      <c r="C141" s="586"/>
      <c r="D141" s="587">
        <f>D114+D122+D124+D128</f>
        <v>1082362.334</v>
      </c>
      <c r="E141" s="588">
        <f t="shared" ref="E141:F141" si="24">E114+E122+E124+E128</f>
        <v>1078652.7220000001</v>
      </c>
      <c r="F141" s="591">
        <f t="shared" si="24"/>
        <v>1145352.369742797</v>
      </c>
      <c r="G141" s="587">
        <f>G114+G122+G124+G126+G128</f>
        <v>1108753</v>
      </c>
      <c r="H141" s="588">
        <f t="shared" ref="H141:I141" si="25">H114+H122+H124+H126+H128</f>
        <v>1109250</v>
      </c>
      <c r="I141" s="591">
        <f t="shared" si="25"/>
        <v>1109251</v>
      </c>
      <c r="J141" s="595">
        <f>K114+K122+K124+K126</f>
        <v>1066132</v>
      </c>
    </row>
    <row r="143" spans="1:16" ht="14.25" thickBot="1">
      <c r="A143" s="82" t="s">
        <v>249</v>
      </c>
    </row>
    <row r="144" spans="1:16" ht="14.25" thickBot="1">
      <c r="A144" s="763"/>
      <c r="B144" s="764"/>
      <c r="C144" s="765"/>
      <c r="D144" s="107" t="s">
        <v>105</v>
      </c>
      <c r="E144" s="132" t="s">
        <v>106</v>
      </c>
      <c r="F144" s="109" t="s">
        <v>2</v>
      </c>
      <c r="G144" s="107" t="s">
        <v>72</v>
      </c>
      <c r="H144" s="109" t="s">
        <v>73</v>
      </c>
      <c r="I144" s="109" t="s">
        <v>3</v>
      </c>
      <c r="J144" s="133" t="s">
        <v>248</v>
      </c>
    </row>
    <row r="145" spans="1:10">
      <c r="A145" s="40" t="s">
        <v>4</v>
      </c>
      <c r="B145" s="11"/>
      <c r="C145" s="597"/>
      <c r="D145" s="598">
        <f>D123+D125+D129</f>
        <v>331.66666666666669</v>
      </c>
      <c r="E145" s="599">
        <f t="shared" ref="E145:F145" si="26">E123+E125+E129</f>
        <v>334.58333333333331</v>
      </c>
      <c r="F145" s="600">
        <f t="shared" si="26"/>
        <v>347.04007842392485</v>
      </c>
      <c r="G145" s="598">
        <f>G123+G125+G127+G129</f>
        <v>335</v>
      </c>
      <c r="H145" s="600">
        <f t="shared" ref="H145:I145" si="27">H123+H125+H127+H129</f>
        <v>335</v>
      </c>
      <c r="I145" s="600">
        <f t="shared" si="27"/>
        <v>335</v>
      </c>
      <c r="J145" s="609">
        <f>K123+K125+K127</f>
        <v>319</v>
      </c>
    </row>
    <row r="146" spans="1:10">
      <c r="A146" s="13"/>
      <c r="B146" s="601" t="s">
        <v>250</v>
      </c>
      <c r="C146" s="602"/>
      <c r="D146" s="603">
        <v>220.41666666666666</v>
      </c>
      <c r="E146" s="604">
        <v>226.25</v>
      </c>
      <c r="F146" s="605">
        <v>244.24875659023283</v>
      </c>
      <c r="G146" s="204">
        <v>237</v>
      </c>
      <c r="H146" s="605">
        <v>237</v>
      </c>
      <c r="I146" s="605">
        <v>237</v>
      </c>
      <c r="J146" s="610">
        <v>245</v>
      </c>
    </row>
    <row r="147" spans="1:10" ht="14.25" thickBot="1">
      <c r="A147" s="606"/>
      <c r="B147" s="607" t="s">
        <v>251</v>
      </c>
      <c r="C147" s="608"/>
      <c r="D147" s="680">
        <f t="shared" ref="D147:J147" si="28">IFERROR(ROUND(D146/D145*100,1),"－")</f>
        <v>66.5</v>
      </c>
      <c r="E147" s="681">
        <f t="shared" si="28"/>
        <v>67.599999999999994</v>
      </c>
      <c r="F147" s="682">
        <f t="shared" si="28"/>
        <v>70.400000000000006</v>
      </c>
      <c r="G147" s="680">
        <f t="shared" si="28"/>
        <v>70.7</v>
      </c>
      <c r="H147" s="682">
        <f t="shared" si="28"/>
        <v>70.7</v>
      </c>
      <c r="I147" s="682">
        <f t="shared" si="28"/>
        <v>70.7</v>
      </c>
      <c r="J147" s="683">
        <f t="shared" si="28"/>
        <v>76.8</v>
      </c>
    </row>
  </sheetData>
  <mergeCells count="51">
    <mergeCell ref="A144:C144"/>
    <mergeCell ref="B32:B33"/>
    <mergeCell ref="B12:B13"/>
    <mergeCell ref="B14:B15"/>
    <mergeCell ref="B17:B18"/>
    <mergeCell ref="B20:B21"/>
    <mergeCell ref="B23:B24"/>
    <mergeCell ref="B25:B26"/>
    <mergeCell ref="B27:B28"/>
    <mergeCell ref="B29:B30"/>
    <mergeCell ref="B75:B76"/>
    <mergeCell ref="B35:B36"/>
    <mergeCell ref="B38:B39"/>
    <mergeCell ref="B44:B45"/>
    <mergeCell ref="B47:B48"/>
    <mergeCell ref="B50:B51"/>
    <mergeCell ref="B63:B64"/>
    <mergeCell ref="B66:B67"/>
    <mergeCell ref="B69:B70"/>
    <mergeCell ref="B72:B73"/>
    <mergeCell ref="B40:B41"/>
    <mergeCell ref="B52:B53"/>
    <mergeCell ref="B105:B106"/>
    <mergeCell ref="B77:B78"/>
    <mergeCell ref="B80:B81"/>
    <mergeCell ref="B83:B84"/>
    <mergeCell ref="B86:B87"/>
    <mergeCell ref="B89:B90"/>
    <mergeCell ref="B92:B93"/>
    <mergeCell ref="B94:B95"/>
    <mergeCell ref="B96:B97"/>
    <mergeCell ref="B98:B99"/>
    <mergeCell ref="B101:B102"/>
    <mergeCell ref="B103:B104"/>
    <mergeCell ref="B122:B123"/>
    <mergeCell ref="B124:B125"/>
    <mergeCell ref="B128:B129"/>
    <mergeCell ref="B108:B109"/>
    <mergeCell ref="B110:B111"/>
    <mergeCell ref="B112:B113"/>
    <mergeCell ref="B114:B115"/>
    <mergeCell ref="B116:B117"/>
    <mergeCell ref="B118:B119"/>
    <mergeCell ref="K57:M58"/>
    <mergeCell ref="K133:M135"/>
    <mergeCell ref="I3:J3"/>
    <mergeCell ref="K3:L3"/>
    <mergeCell ref="I4:J4"/>
    <mergeCell ref="K4:L4"/>
    <mergeCell ref="I5:J5"/>
    <mergeCell ref="K5:L5"/>
  </mergeCells>
  <phoneticPr fontId="9"/>
  <dataValidations count="1">
    <dataValidation type="whole" allowBlank="1" showErrorMessage="1" error="施設サービス利用者数の総数以下の数値を入力してください。" sqref="D146:J146">
      <formula1>0</formula1>
      <formula2>D145</formula2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verticalDpi="0" r:id="rId1"/>
  <headerFooter>
    <oddFooter>&amp;C&amp;P</oddFooter>
  </headerFooter>
  <rowBreaks count="1" manualBreakCount="1">
    <brk id="58" max="16383" man="1"/>
  </rowBreaks>
  <colBreaks count="1" manualBreakCount="1">
    <brk id="14" max="1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9"/>
  <sheetViews>
    <sheetView tabSelected="1" view="pageBreakPreview" zoomScale="85" zoomScaleNormal="85" zoomScaleSheetLayoutView="85" workbookViewId="0">
      <selection activeCell="F19" sqref="F19:I19"/>
    </sheetView>
  </sheetViews>
  <sheetFormatPr defaultRowHeight="13.5"/>
  <cols>
    <col min="1" max="2" width="2.625" style="402" customWidth="1"/>
    <col min="3" max="3" width="15.625" style="402" customWidth="1"/>
    <col min="4" max="4" width="9" style="402"/>
    <col min="5" max="5" width="25.625" style="402" customWidth="1"/>
    <col min="6" max="6" width="17" style="402" customWidth="1"/>
    <col min="7" max="10" width="14.625" style="402" customWidth="1"/>
    <col min="11" max="11" width="14.75" style="402" bestFit="1" customWidth="1"/>
    <col min="12" max="16384" width="9" style="402"/>
  </cols>
  <sheetData>
    <row r="1" spans="1:10">
      <c r="A1" s="400" t="s">
        <v>311</v>
      </c>
      <c r="B1" s="401"/>
      <c r="C1" s="621"/>
      <c r="D1" s="621"/>
      <c r="E1" s="621"/>
      <c r="F1" s="621"/>
      <c r="G1" s="621"/>
      <c r="H1" s="621"/>
    </row>
    <row r="2" spans="1:10" s="50" customFormat="1" ht="15" thickBot="1">
      <c r="A2" s="229"/>
      <c r="H2" s="230"/>
      <c r="I2" s="231"/>
    </row>
    <row r="3" spans="1:10" ht="14.25" thickBot="1">
      <c r="B3" s="403"/>
      <c r="I3" s="620" t="s">
        <v>74</v>
      </c>
      <c r="J3" s="404" t="str">
        <f>'1_推計値サマリ'!K3</f>
        <v>珠洲市</v>
      </c>
    </row>
    <row r="4" spans="1:10" ht="14.25" thickBot="1">
      <c r="B4" s="403"/>
      <c r="I4" s="624" t="s">
        <v>75</v>
      </c>
      <c r="J4" s="630" t="str">
        <f>'1_推計値サマリ'!K4</f>
        <v>17205</v>
      </c>
    </row>
    <row r="5" spans="1:10" ht="14.25" thickBot="1">
      <c r="B5" s="403"/>
      <c r="I5" s="405" t="s">
        <v>109</v>
      </c>
      <c r="J5" s="679" t="str">
        <f>'1_推計値サマリ'!K5</f>
        <v>第７期珠洲市介護保険事業計画</v>
      </c>
    </row>
    <row r="6" spans="1:10">
      <c r="B6" s="403"/>
      <c r="J6" s="406"/>
    </row>
    <row r="7" spans="1:10" ht="14.25" thickBot="1">
      <c r="A7" s="407" t="s">
        <v>139</v>
      </c>
      <c r="B7" s="403"/>
    </row>
    <row r="8" spans="1:10" ht="14.25" thickBot="1">
      <c r="A8" s="408" t="s">
        <v>140</v>
      </c>
      <c r="B8" s="409"/>
      <c r="C8" s="409"/>
      <c r="D8" s="409"/>
      <c r="E8" s="409"/>
      <c r="F8" s="792">
        <v>6000</v>
      </c>
      <c r="G8" s="793"/>
      <c r="H8" s="793"/>
      <c r="I8" s="794"/>
      <c r="J8" s="410"/>
    </row>
    <row r="9" spans="1:10">
      <c r="A9" s="406"/>
      <c r="B9" s="406"/>
      <c r="C9" s="406"/>
      <c r="D9" s="406"/>
      <c r="E9" s="406"/>
      <c r="F9" s="406"/>
      <c r="G9" s="410"/>
      <c r="H9" s="410"/>
      <c r="I9" s="410"/>
      <c r="J9" s="410"/>
    </row>
    <row r="10" spans="1:10" ht="14.25" thickBot="1">
      <c r="A10" s="407" t="s">
        <v>141</v>
      </c>
      <c r="B10" s="411"/>
      <c r="C10" s="411"/>
      <c r="D10" s="411"/>
      <c r="E10" s="411"/>
      <c r="F10" s="411"/>
      <c r="G10" s="411"/>
      <c r="H10" s="411"/>
      <c r="I10" s="411"/>
      <c r="J10" s="411"/>
    </row>
    <row r="11" spans="1:10" ht="14.25" thickBot="1">
      <c r="A11" s="412"/>
      <c r="B11" s="413"/>
      <c r="C11" s="413"/>
      <c r="D11" s="413"/>
      <c r="E11" s="413"/>
      <c r="F11" s="795" t="s">
        <v>142</v>
      </c>
      <c r="G11" s="796"/>
      <c r="H11" s="796"/>
      <c r="I11" s="797"/>
      <c r="J11" s="134" t="s">
        <v>86</v>
      </c>
    </row>
    <row r="12" spans="1:10">
      <c r="A12" s="414" t="s">
        <v>271</v>
      </c>
      <c r="B12" s="415"/>
      <c r="C12" s="415"/>
      <c r="D12" s="415"/>
      <c r="E12" s="415"/>
      <c r="F12" s="798">
        <f>F96/F97/F183/12</f>
        <v>6399.7329487971183</v>
      </c>
      <c r="G12" s="799"/>
      <c r="H12" s="799"/>
      <c r="I12" s="800"/>
      <c r="J12" s="643">
        <f>J96/J97/J183/12</f>
        <v>7199.812495660236</v>
      </c>
    </row>
    <row r="13" spans="1:10">
      <c r="A13" s="417" t="s">
        <v>143</v>
      </c>
      <c r="B13" s="415"/>
      <c r="C13" s="415"/>
      <c r="D13" s="415"/>
      <c r="E13" s="415"/>
      <c r="F13" s="801">
        <f>(F96+F15)/F97/F183/12-F12</f>
        <v>170.09409742905973</v>
      </c>
      <c r="G13" s="802"/>
      <c r="H13" s="802"/>
      <c r="I13" s="803"/>
      <c r="J13" s="643">
        <f>(J96+J15)/J97/J183/12-J12</f>
        <v>28.156299096402108</v>
      </c>
    </row>
    <row r="14" spans="1:10">
      <c r="A14" s="418"/>
      <c r="B14" s="419" t="s">
        <v>144</v>
      </c>
      <c r="C14" s="419"/>
      <c r="D14" s="419"/>
      <c r="E14" s="419"/>
      <c r="F14" s="789">
        <v>40000000</v>
      </c>
      <c r="G14" s="790"/>
      <c r="H14" s="790"/>
      <c r="I14" s="791"/>
      <c r="J14" s="420">
        <v>10000000</v>
      </c>
    </row>
    <row r="15" spans="1:10">
      <c r="A15" s="418"/>
      <c r="B15" s="419" t="s">
        <v>145</v>
      </c>
      <c r="C15" s="419"/>
      <c r="D15" s="419"/>
      <c r="E15" s="419"/>
      <c r="F15" s="789">
        <v>40000000</v>
      </c>
      <c r="G15" s="790"/>
      <c r="H15" s="790"/>
      <c r="I15" s="791"/>
      <c r="J15" s="420">
        <v>2000000</v>
      </c>
    </row>
    <row r="16" spans="1:10">
      <c r="A16" s="421"/>
      <c r="B16" s="415" t="s">
        <v>146</v>
      </c>
      <c r="C16" s="415"/>
      <c r="D16" s="415"/>
      <c r="E16" s="415"/>
      <c r="F16" s="807">
        <f>IF(F14=0,0, F15/F14)</f>
        <v>1</v>
      </c>
      <c r="G16" s="808"/>
      <c r="H16" s="808"/>
      <c r="I16" s="809"/>
      <c r="J16" s="644">
        <f>IF(J14=0,0,J15/J14)</f>
        <v>0.2</v>
      </c>
    </row>
    <row r="17" spans="1:11">
      <c r="A17" s="417" t="s">
        <v>147</v>
      </c>
      <c r="B17" s="415"/>
      <c r="C17" s="415"/>
      <c r="D17" s="415"/>
      <c r="E17" s="415"/>
      <c r="F17" s="801">
        <f>F12-(F96-F18)/F97/F183/12</f>
        <v>0</v>
      </c>
      <c r="G17" s="802"/>
      <c r="H17" s="802"/>
      <c r="I17" s="803"/>
      <c r="J17" s="643">
        <f>J12-(J96-J18)/J97/J183/12</f>
        <v>0</v>
      </c>
    </row>
    <row r="18" spans="1:11">
      <c r="A18" s="418"/>
      <c r="B18" s="415" t="s">
        <v>148</v>
      </c>
      <c r="C18" s="415"/>
      <c r="D18" s="415"/>
      <c r="E18" s="415"/>
      <c r="F18" s="801">
        <f>(F68+F82)*F19</f>
        <v>0</v>
      </c>
      <c r="G18" s="802"/>
      <c r="H18" s="802"/>
      <c r="I18" s="803"/>
      <c r="J18" s="643">
        <f>(J68+J82)*J19</f>
        <v>0</v>
      </c>
    </row>
    <row r="19" spans="1:11">
      <c r="A19" s="421"/>
      <c r="B19" s="419" t="s">
        <v>149</v>
      </c>
      <c r="C19" s="419"/>
      <c r="D19" s="419"/>
      <c r="E19" s="419"/>
      <c r="F19" s="810">
        <v>0</v>
      </c>
      <c r="G19" s="811"/>
      <c r="H19" s="811"/>
      <c r="I19" s="812"/>
      <c r="J19" s="422">
        <v>0</v>
      </c>
    </row>
    <row r="20" spans="1:11">
      <c r="A20" s="417" t="s">
        <v>150</v>
      </c>
      <c r="B20" s="415"/>
      <c r="C20" s="415"/>
      <c r="D20" s="415"/>
      <c r="E20" s="415"/>
      <c r="F20" s="801">
        <f>F12-(F96-F21)/F97/F183/12</f>
        <v>0</v>
      </c>
      <c r="G20" s="802"/>
      <c r="H20" s="802"/>
      <c r="I20" s="803"/>
      <c r="J20" s="643">
        <f>J12-(J96-J21)/J97/J183/12</f>
        <v>0</v>
      </c>
    </row>
    <row r="21" spans="1:11">
      <c r="A21" s="423"/>
      <c r="B21" s="424" t="s">
        <v>151</v>
      </c>
      <c r="C21" s="419"/>
      <c r="D21" s="419"/>
      <c r="E21" s="419"/>
      <c r="F21" s="789">
        <v>0</v>
      </c>
      <c r="G21" s="790"/>
      <c r="H21" s="790"/>
      <c r="I21" s="791"/>
      <c r="J21" s="420">
        <v>0</v>
      </c>
    </row>
    <row r="22" spans="1:11" ht="14.25" thickBot="1">
      <c r="A22" s="425" t="s">
        <v>152</v>
      </c>
      <c r="B22" s="426"/>
      <c r="C22" s="426"/>
      <c r="D22" s="426"/>
      <c r="E22" s="426"/>
      <c r="F22" s="813">
        <f>F12/$F$8-1</f>
        <v>6.6622158132852993E-2</v>
      </c>
      <c r="G22" s="814"/>
      <c r="H22" s="814"/>
      <c r="I22" s="815"/>
      <c r="J22" s="645">
        <f>J12/$F$8-1</f>
        <v>0.19996874927670594</v>
      </c>
    </row>
    <row r="24" spans="1:11" ht="14.25" thickBot="1">
      <c r="A24" s="407" t="s">
        <v>153</v>
      </c>
      <c r="B24" s="411"/>
      <c r="C24" s="411"/>
      <c r="D24" s="411"/>
      <c r="E24" s="411"/>
      <c r="F24" s="411"/>
      <c r="G24" s="411"/>
      <c r="H24" s="411"/>
      <c r="I24" s="411"/>
      <c r="J24" s="411"/>
    </row>
    <row r="25" spans="1:11" ht="14.25" thickBot="1">
      <c r="A25" s="412"/>
      <c r="B25" s="413"/>
      <c r="C25" s="413"/>
      <c r="D25" s="413"/>
      <c r="E25" s="413"/>
      <c r="F25" s="795" t="s">
        <v>142</v>
      </c>
      <c r="G25" s="796"/>
      <c r="H25" s="796"/>
      <c r="I25" s="797"/>
      <c r="J25" s="134" t="s">
        <v>86</v>
      </c>
    </row>
    <row r="26" spans="1:11">
      <c r="A26" s="414" t="s">
        <v>271</v>
      </c>
      <c r="B26" s="415"/>
      <c r="C26" s="415"/>
      <c r="D26" s="415"/>
      <c r="E26" s="415"/>
      <c r="F26" s="816" t="str">
        <f>IFERROR(F96/F97/F184/12,"－")</f>
        <v>－</v>
      </c>
      <c r="G26" s="817"/>
      <c r="H26" s="817"/>
      <c r="I26" s="818"/>
      <c r="J26" s="643" t="str">
        <f>IFERROR(J96/J97/J184/12,"－")</f>
        <v>－</v>
      </c>
    </row>
    <row r="27" spans="1:11">
      <c r="A27" s="417" t="s">
        <v>143</v>
      </c>
      <c r="B27" s="415"/>
      <c r="C27" s="415"/>
      <c r="D27" s="415"/>
      <c r="E27" s="415"/>
      <c r="F27" s="804" t="str">
        <f>IFERROR((F96+F29)/F97/F184/12-F26,"－")</f>
        <v>－</v>
      </c>
      <c r="G27" s="805"/>
      <c r="H27" s="805"/>
      <c r="I27" s="806"/>
      <c r="J27" s="643" t="str">
        <f>IFERROR((J96+J29)/J97/J184/12-J26,"－")</f>
        <v>－</v>
      </c>
    </row>
    <row r="28" spans="1:11">
      <c r="A28" s="418"/>
      <c r="B28" s="415" t="s">
        <v>144</v>
      </c>
      <c r="C28" s="415"/>
      <c r="D28" s="415"/>
      <c r="E28" s="415"/>
      <c r="F28" s="804" t="str">
        <f>IF(F26="－","－",F14)</f>
        <v>－</v>
      </c>
      <c r="G28" s="805"/>
      <c r="H28" s="805"/>
      <c r="I28" s="806"/>
      <c r="J28" s="643" t="str">
        <f>IF(J26="－","－",J14)</f>
        <v>－</v>
      </c>
      <c r="K28" s="29"/>
    </row>
    <row r="29" spans="1:11">
      <c r="A29" s="418"/>
      <c r="B29" s="415" t="s">
        <v>145</v>
      </c>
      <c r="C29" s="415"/>
      <c r="D29" s="415"/>
      <c r="E29" s="415"/>
      <c r="F29" s="804" t="str">
        <f>IF(F26="－","－",F15)</f>
        <v>－</v>
      </c>
      <c r="G29" s="805"/>
      <c r="H29" s="805"/>
      <c r="I29" s="806"/>
      <c r="J29" s="643" t="str">
        <f>IF(J26="－","－",J15)</f>
        <v>－</v>
      </c>
    </row>
    <row r="30" spans="1:11">
      <c r="A30" s="421"/>
      <c r="B30" s="415" t="s">
        <v>146</v>
      </c>
      <c r="C30" s="415"/>
      <c r="D30" s="415"/>
      <c r="E30" s="415"/>
      <c r="F30" s="821" t="str">
        <f>IFERROR(F29/F28,"－")</f>
        <v>－</v>
      </c>
      <c r="G30" s="822"/>
      <c r="H30" s="822"/>
      <c r="I30" s="823"/>
      <c r="J30" s="644" t="str">
        <f>IFERROR(J29/J28,"－")</f>
        <v>－</v>
      </c>
    </row>
    <row r="31" spans="1:11">
      <c r="A31" s="417" t="s">
        <v>147</v>
      </c>
      <c r="B31" s="415"/>
      <c r="C31" s="415"/>
      <c r="D31" s="415"/>
      <c r="E31" s="415"/>
      <c r="F31" s="804" t="str">
        <f>IFERROR(F26-(F96-F32)/F97/F184/12,"－")</f>
        <v>－</v>
      </c>
      <c r="G31" s="805"/>
      <c r="H31" s="805"/>
      <c r="I31" s="806"/>
      <c r="J31" s="643" t="str">
        <f>IFERROR(J26-(J96-J32)/J97/J184/12,"－")</f>
        <v>－</v>
      </c>
    </row>
    <row r="32" spans="1:11">
      <c r="A32" s="418"/>
      <c r="B32" s="415" t="s">
        <v>148</v>
      </c>
      <c r="C32" s="415"/>
      <c r="D32" s="415"/>
      <c r="E32" s="415"/>
      <c r="F32" s="804" t="str">
        <f>IF(F26="－","－",(F68+F82)*F33)</f>
        <v>－</v>
      </c>
      <c r="G32" s="805"/>
      <c r="H32" s="805"/>
      <c r="I32" s="806"/>
      <c r="J32" s="643" t="str">
        <f>IF(J26="－","－",(J68+J82)*J33)</f>
        <v>－</v>
      </c>
    </row>
    <row r="33" spans="1:10">
      <c r="A33" s="421"/>
      <c r="B33" s="415" t="s">
        <v>149</v>
      </c>
      <c r="C33" s="415"/>
      <c r="D33" s="415"/>
      <c r="E33" s="415"/>
      <c r="F33" s="821" t="str">
        <f>IF(F26="－","－",F19)</f>
        <v>－</v>
      </c>
      <c r="G33" s="822"/>
      <c r="H33" s="822"/>
      <c r="I33" s="823"/>
      <c r="J33" s="644" t="str">
        <f>IF(J26="－","－",J19)</f>
        <v>－</v>
      </c>
    </row>
    <row r="34" spans="1:10">
      <c r="A34" s="417" t="s">
        <v>150</v>
      </c>
      <c r="B34" s="415"/>
      <c r="C34" s="415"/>
      <c r="D34" s="415"/>
      <c r="E34" s="415"/>
      <c r="F34" s="804" t="str">
        <f>IFERROR(F26-(F96-F35)/F97/F184/12,"－")</f>
        <v>－</v>
      </c>
      <c r="G34" s="805"/>
      <c r="H34" s="805"/>
      <c r="I34" s="806"/>
      <c r="J34" s="643" t="str">
        <f>IFERROR(J26-(J96-J35)/J97/J184/12,"－")</f>
        <v>－</v>
      </c>
    </row>
    <row r="35" spans="1:10">
      <c r="A35" s="423"/>
      <c r="B35" s="427" t="s">
        <v>151</v>
      </c>
      <c r="C35" s="415"/>
      <c r="D35" s="415"/>
      <c r="E35" s="415"/>
      <c r="F35" s="804" t="str">
        <f>IF(F26="－","－",F21)</f>
        <v>－</v>
      </c>
      <c r="G35" s="805"/>
      <c r="H35" s="805"/>
      <c r="I35" s="806"/>
      <c r="J35" s="643" t="str">
        <f>IF(J26="－","－",J21)</f>
        <v>－</v>
      </c>
    </row>
    <row r="36" spans="1:10" ht="14.25" thickBot="1">
      <c r="A36" s="425" t="s">
        <v>154</v>
      </c>
      <c r="B36" s="426"/>
      <c r="C36" s="426"/>
      <c r="D36" s="426"/>
      <c r="E36" s="426"/>
      <c r="F36" s="824" t="str">
        <f>IFERROR(F26/$F$8-1,"－")</f>
        <v>－</v>
      </c>
      <c r="G36" s="825"/>
      <c r="H36" s="825"/>
      <c r="I36" s="826"/>
      <c r="J36" s="645" t="str">
        <f>IFERROR(J26/$F$8-1,"－")</f>
        <v>－</v>
      </c>
    </row>
    <row r="37" spans="1:10">
      <c r="A37" s="407"/>
      <c r="B37" s="411"/>
      <c r="C37" s="411"/>
      <c r="D37" s="411"/>
      <c r="E37" s="411"/>
      <c r="F37" s="411"/>
      <c r="G37" s="411"/>
      <c r="H37" s="411"/>
      <c r="I37" s="411"/>
      <c r="J37" s="411"/>
    </row>
    <row r="38" spans="1:10" ht="14.25" thickBot="1">
      <c r="A38" s="407" t="s">
        <v>155</v>
      </c>
      <c r="B38" s="411"/>
      <c r="C38" s="411"/>
      <c r="D38" s="411"/>
      <c r="E38" s="411"/>
      <c r="F38" s="411"/>
      <c r="G38" s="411"/>
      <c r="H38" s="411"/>
      <c r="I38" s="411"/>
      <c r="J38" s="411"/>
    </row>
    <row r="39" spans="1:10">
      <c r="A39" s="428"/>
      <c r="B39" s="429"/>
      <c r="C39" s="429"/>
      <c r="D39" s="429"/>
      <c r="E39" s="430"/>
      <c r="F39" s="827" t="s">
        <v>88</v>
      </c>
      <c r="G39" s="828"/>
      <c r="H39" s="829"/>
      <c r="I39" s="830" t="s">
        <v>156</v>
      </c>
      <c r="J39" s="831"/>
    </row>
    <row r="40" spans="1:10">
      <c r="A40" s="431"/>
      <c r="B40" s="432"/>
      <c r="C40" s="432"/>
      <c r="D40" s="432"/>
      <c r="E40" s="433"/>
      <c r="F40" s="832" t="s">
        <v>82</v>
      </c>
      <c r="G40" s="833"/>
      <c r="H40" s="434" t="s">
        <v>157</v>
      </c>
      <c r="I40" s="435" t="s">
        <v>82</v>
      </c>
      <c r="J40" s="436" t="s">
        <v>157</v>
      </c>
    </row>
    <row r="41" spans="1:10">
      <c r="A41" s="437" t="s">
        <v>69</v>
      </c>
      <c r="B41" s="437"/>
      <c r="C41" s="438"/>
      <c r="D41" s="439"/>
      <c r="E41" s="440"/>
      <c r="F41" s="819">
        <f>(F69*'(参考)保険料の推計に要する係数'!D5+(F86-F87))/(F183*F97*12)</f>
        <v>5564.8957250994845</v>
      </c>
      <c r="G41" s="820"/>
      <c r="H41" s="632">
        <f>(J69*'(参考)保険料の推計に要する係数'!E5+(J86-J87))/(J183*J97*12)</f>
        <v>6091.5453678519552</v>
      </c>
      <c r="I41" s="647">
        <f>F41/$F$49</f>
        <v>0.84703839019568361</v>
      </c>
      <c r="J41" s="648">
        <f>H41/$H$49</f>
        <v>0.84277416530504734</v>
      </c>
    </row>
    <row r="42" spans="1:10">
      <c r="A42" s="437"/>
      <c r="B42" s="441" t="s">
        <v>77</v>
      </c>
      <c r="C42" s="442"/>
      <c r="D42" s="443"/>
      <c r="E42" s="444"/>
      <c r="F42" s="819">
        <f>$F$41*SUM('2_サービス別給付費'!G139:I139)/SUM('2_サービス別給付費'!$G$138:$I$138)</f>
        <v>2173.3682408365125</v>
      </c>
      <c r="G42" s="820"/>
      <c r="H42" s="632">
        <f>$H$41*SUM('2_サービス別給付費'!J139)/SUM('2_サービス別給付費'!$J$138)</f>
        <v>2339.9202138718633</v>
      </c>
      <c r="I42" s="647">
        <f t="shared" ref="I42:I51" si="0">F42/$F$49</f>
        <v>0.3308105716549925</v>
      </c>
      <c r="J42" s="648">
        <f t="shared" ref="J42:J50" si="1">H42/$H$49</f>
        <v>0.32373136635140204</v>
      </c>
    </row>
    <row r="43" spans="1:10">
      <c r="A43" s="437"/>
      <c r="B43" s="441" t="s">
        <v>89</v>
      </c>
      <c r="C43" s="442"/>
      <c r="D43" s="443"/>
      <c r="E43" s="444"/>
      <c r="F43" s="819">
        <f>$F$41*SUM('2_サービス別給付費'!G140:I140)/SUM('2_サービス別給付費'!$G$138:$I$138)</f>
        <v>743.84678526050072</v>
      </c>
      <c r="G43" s="820"/>
      <c r="H43" s="632">
        <f>$H$41*SUM('2_サービス別給付費'!J140)/SUM('2_サービス別給付費'!$J$138)</f>
        <v>766.82061328838847</v>
      </c>
      <c r="I43" s="647">
        <f t="shared" si="0"/>
        <v>0.11322166931133738</v>
      </c>
      <c r="J43" s="648">
        <f t="shared" si="1"/>
        <v>0.10609074763087806</v>
      </c>
    </row>
    <row r="44" spans="1:10">
      <c r="A44" s="437"/>
      <c r="B44" s="441" t="s">
        <v>78</v>
      </c>
      <c r="C44" s="439"/>
      <c r="D44" s="445"/>
      <c r="E44" s="440"/>
      <c r="F44" s="819">
        <f>$F$41*SUM('2_サービス別給付費'!G141:I141)/SUM('2_サービス別給付費'!$G$138:$I$138)</f>
        <v>2647.6806990024711</v>
      </c>
      <c r="G44" s="820"/>
      <c r="H44" s="632">
        <f>$H$41*SUM('2_サービス別給付費'!J141)/SUM('2_サービス別給付費'!$J$138)</f>
        <v>2984.8045406917036</v>
      </c>
      <c r="I44" s="647">
        <f t="shared" si="0"/>
        <v>0.40300614922935374</v>
      </c>
      <c r="J44" s="648">
        <f t="shared" si="1"/>
        <v>0.41295205132276724</v>
      </c>
    </row>
    <row r="45" spans="1:10">
      <c r="A45" s="446" t="s">
        <v>90</v>
      </c>
      <c r="B45" s="446"/>
      <c r="C45" s="442"/>
      <c r="D45" s="443"/>
      <c r="E45" s="444"/>
      <c r="F45" s="819">
        <f>((F73+F76+F77+F78)*'(参考)保険料の推計に要する係数'!D5+F81)/(F183*F97*12)</f>
        <v>591.21995265486612</v>
      </c>
      <c r="G45" s="820"/>
      <c r="H45" s="632">
        <f>((J73+J76+J77+J78)*'(参考)保険料の推計に要する係数'!E5+J81)/(J183*J97*12)</f>
        <v>678.88356658813984</v>
      </c>
      <c r="I45" s="647">
        <f t="shared" si="0"/>
        <v>8.9990185205023498E-2</v>
      </c>
      <c r="J45" s="648">
        <f t="shared" si="1"/>
        <v>9.392452926479429E-2</v>
      </c>
    </row>
    <row r="46" spans="1:10">
      <c r="A46" s="446" t="s">
        <v>91</v>
      </c>
      <c r="B46" s="447"/>
      <c r="C46" s="443"/>
      <c r="D46" s="443"/>
      <c r="E46" s="444"/>
      <c r="F46" s="819">
        <f>F82*'(参考)保険料の推計に要する係数'!D5/(F183*F97*12)</f>
        <v>413.71136847182657</v>
      </c>
      <c r="G46" s="820"/>
      <c r="H46" s="632">
        <f>J82*'(参考)保険料の推計に要する係数'!E5/(J183*J97*12)</f>
        <v>457.53986031654404</v>
      </c>
      <c r="I46" s="647">
        <f t="shared" si="0"/>
        <v>6.297142459929285E-2</v>
      </c>
      <c r="J46" s="648">
        <f t="shared" si="1"/>
        <v>6.3301305430158425E-2</v>
      </c>
    </row>
    <row r="47" spans="1:10">
      <c r="A47" s="446" t="s">
        <v>92</v>
      </c>
      <c r="B47" s="447"/>
      <c r="C47" s="443"/>
      <c r="D47" s="443"/>
      <c r="E47" s="444"/>
      <c r="F47" s="819">
        <f>(F18+F21)/(F183*F97*12)</f>
        <v>0</v>
      </c>
      <c r="G47" s="820"/>
      <c r="H47" s="632">
        <f>(J18+J21)/(J183*J97*12)</f>
        <v>0</v>
      </c>
      <c r="I47" s="647">
        <f t="shared" si="0"/>
        <v>0</v>
      </c>
      <c r="J47" s="648">
        <f t="shared" si="1"/>
        <v>0</v>
      </c>
    </row>
    <row r="48" spans="1:10">
      <c r="A48" s="446" t="s">
        <v>93</v>
      </c>
      <c r="B48" s="446"/>
      <c r="C48" s="442"/>
      <c r="D48" s="442"/>
      <c r="E48" s="444"/>
      <c r="F48" s="819">
        <f>(F93+F94-F95)/(F183*F97*12)</f>
        <v>0</v>
      </c>
      <c r="G48" s="820"/>
      <c r="H48" s="632">
        <f>(J93+J94-J95)/(J183*J97*12)</f>
        <v>0</v>
      </c>
      <c r="I48" s="647">
        <f t="shared" si="0"/>
        <v>0</v>
      </c>
      <c r="J48" s="648">
        <f t="shared" si="1"/>
        <v>0</v>
      </c>
    </row>
    <row r="49" spans="1:10">
      <c r="A49" s="446" t="s">
        <v>94</v>
      </c>
      <c r="B49" s="446"/>
      <c r="C49" s="442"/>
      <c r="D49" s="442"/>
      <c r="E49" s="444"/>
      <c r="F49" s="819">
        <f>F41+SUM(F45:G48)</f>
        <v>6569.8270462261771</v>
      </c>
      <c r="G49" s="820"/>
      <c r="H49" s="632">
        <f>H41+SUM(H45:H48)</f>
        <v>7227.968794756639</v>
      </c>
      <c r="I49" s="647">
        <f t="shared" si="0"/>
        <v>1</v>
      </c>
      <c r="J49" s="648">
        <f>H49/$H$49</f>
        <v>1</v>
      </c>
    </row>
    <row r="50" spans="1:10">
      <c r="A50" s="446" t="s">
        <v>95</v>
      </c>
      <c r="B50" s="447"/>
      <c r="C50" s="443"/>
      <c r="D50" s="443"/>
      <c r="E50" s="444"/>
      <c r="F50" s="819">
        <f>F15/(F183*F97*12)</f>
        <v>170.09409742905811</v>
      </c>
      <c r="G50" s="820"/>
      <c r="H50" s="632">
        <f>J15/(J183*J97*12)</f>
        <v>28.156299096402709</v>
      </c>
      <c r="I50" s="647">
        <f t="shared" si="0"/>
        <v>2.5890194099822326E-2</v>
      </c>
      <c r="J50" s="648">
        <f t="shared" si="1"/>
        <v>3.8954649495482104E-3</v>
      </c>
    </row>
    <row r="51" spans="1:10" ht="14.25" thickBot="1">
      <c r="A51" s="448" t="s">
        <v>161</v>
      </c>
      <c r="B51" s="448"/>
      <c r="C51" s="449"/>
      <c r="D51" s="449"/>
      <c r="E51" s="450"/>
      <c r="F51" s="835">
        <f>F49-F50</f>
        <v>6399.7329487971192</v>
      </c>
      <c r="G51" s="836"/>
      <c r="H51" s="646">
        <f>H49-H50</f>
        <v>7199.812495660236</v>
      </c>
      <c r="I51" s="647">
        <f t="shared" si="0"/>
        <v>0.97410980590017771</v>
      </c>
      <c r="J51" s="649">
        <f>H51/$H$49</f>
        <v>0.99610453505045171</v>
      </c>
    </row>
    <row r="52" spans="1:10">
      <c r="A52" s="451" t="s">
        <v>162</v>
      </c>
      <c r="B52" s="452"/>
      <c r="C52" s="452"/>
      <c r="D52" s="452"/>
      <c r="E52" s="430"/>
      <c r="F52" s="453"/>
      <c r="G52" s="430"/>
      <c r="H52" s="430"/>
      <c r="I52" s="430"/>
      <c r="J52" s="454"/>
    </row>
    <row r="53" spans="1:10">
      <c r="A53" s="437" t="s">
        <v>69</v>
      </c>
      <c r="B53" s="437"/>
      <c r="C53" s="438"/>
      <c r="D53" s="439"/>
      <c r="E53" s="440"/>
      <c r="F53" s="819" t="str">
        <f>IFERROR((F69*'(参考)保険料の推計に要する係数'!D5+(F86-F87))/(F184*F97*12),"－")</f>
        <v>－</v>
      </c>
      <c r="G53" s="834"/>
      <c r="H53" s="632" t="str">
        <f>IFERROR((J69*'(参考)保険料の推計に要する係数'!E5+(J86-J87))/(J184*J97*12),"－")</f>
        <v>－</v>
      </c>
      <c r="I53" s="647" t="str">
        <f>IFERROR(F53/$F$61,"－")</f>
        <v>－</v>
      </c>
      <c r="J53" s="648" t="str">
        <f>IFERROR(H53/$H$61,"－")</f>
        <v>－</v>
      </c>
    </row>
    <row r="54" spans="1:10">
      <c r="A54" s="437"/>
      <c r="B54" s="441" t="s">
        <v>77</v>
      </c>
      <c r="C54" s="442"/>
      <c r="D54" s="443"/>
      <c r="E54" s="444"/>
      <c r="F54" s="819" t="str">
        <f>IFERROR($F$53*SUM('2_サービス別給付費'!G139:I139)/SUM('2_サービス別給付費'!$G$138:$I$138),"－")</f>
        <v>－</v>
      </c>
      <c r="G54" s="834"/>
      <c r="H54" s="632" t="str">
        <f>IFERROR($H$53*SUM('2_サービス別給付費'!J139)/SUM('2_サービス別給付費'!$J$138),"－")</f>
        <v>－</v>
      </c>
      <c r="I54" s="647" t="str">
        <f t="shared" ref="I54:I63" si="2">IFERROR(F54/$F$61,"－")</f>
        <v>－</v>
      </c>
      <c r="J54" s="648" t="str">
        <f t="shared" ref="J54:J63" si="3">IFERROR(H54/$H$61,"－")</f>
        <v>－</v>
      </c>
    </row>
    <row r="55" spans="1:10">
      <c r="A55" s="437"/>
      <c r="B55" s="441" t="s">
        <v>89</v>
      </c>
      <c r="C55" s="442"/>
      <c r="D55" s="443"/>
      <c r="E55" s="444"/>
      <c r="F55" s="819" t="str">
        <f>IFERROR($F$53*SUM('2_サービス別給付費'!G140:I140)/SUM('2_サービス別給付費'!$G$138:$I$138),"－")</f>
        <v>－</v>
      </c>
      <c r="G55" s="834"/>
      <c r="H55" s="632" t="str">
        <f>IFERROR($H$53*SUM('2_サービス別給付費'!J140)/SUM('2_サービス別給付費'!$J$138),"－")</f>
        <v>－</v>
      </c>
      <c r="I55" s="647" t="str">
        <f t="shared" si="2"/>
        <v>－</v>
      </c>
      <c r="J55" s="648" t="str">
        <f t="shared" si="3"/>
        <v>－</v>
      </c>
    </row>
    <row r="56" spans="1:10">
      <c r="A56" s="437"/>
      <c r="B56" s="441" t="s">
        <v>78</v>
      </c>
      <c r="C56" s="439"/>
      <c r="D56" s="445"/>
      <c r="E56" s="440"/>
      <c r="F56" s="819" t="str">
        <f>IFERROR($F$53*SUM('2_サービス別給付費'!G141:I141)/SUM('2_サービス別給付費'!$G$138:$I$138),"－")</f>
        <v>－</v>
      </c>
      <c r="G56" s="834"/>
      <c r="H56" s="632" t="str">
        <f>IFERROR($H$53*SUM('2_サービス別給付費'!J141)/SUM('2_サービス別給付費'!$J$138),"－")</f>
        <v>－</v>
      </c>
      <c r="I56" s="647" t="str">
        <f t="shared" si="2"/>
        <v>－</v>
      </c>
      <c r="J56" s="648" t="str">
        <f t="shared" si="3"/>
        <v>－</v>
      </c>
    </row>
    <row r="57" spans="1:10">
      <c r="A57" s="446" t="s">
        <v>90</v>
      </c>
      <c r="B57" s="446"/>
      <c r="C57" s="442"/>
      <c r="D57" s="443"/>
      <c r="E57" s="444"/>
      <c r="F57" s="819" t="str">
        <f>IFERROR(((F73+F76+F77+F78)*'(参考)保険料の推計に要する係数'!D5+F81)/(F184*F97*12),"－")</f>
        <v>－</v>
      </c>
      <c r="G57" s="834"/>
      <c r="H57" s="632" t="str">
        <f>IFERROR(((J73+J76+J77+J78)*'(参考)保険料の推計に要する係数'!E5+J81)/(J184*J97*12),"－")</f>
        <v>－</v>
      </c>
      <c r="I57" s="647" t="str">
        <f t="shared" si="2"/>
        <v>－</v>
      </c>
      <c r="J57" s="648" t="str">
        <f t="shared" si="3"/>
        <v>－</v>
      </c>
    </row>
    <row r="58" spans="1:10">
      <c r="A58" s="446" t="s">
        <v>91</v>
      </c>
      <c r="B58" s="447"/>
      <c r="C58" s="443"/>
      <c r="D58" s="443"/>
      <c r="E58" s="444"/>
      <c r="F58" s="819" t="str">
        <f>IFERROR(F82*'(参考)保険料の推計に要する係数'!D5/(F184*F97*12),"－")</f>
        <v>－</v>
      </c>
      <c r="G58" s="834"/>
      <c r="H58" s="632" t="str">
        <f>IFERROR(J82*'(参考)保険料の推計に要する係数'!E5/(J184*J97*12),"－")</f>
        <v>－</v>
      </c>
      <c r="I58" s="647" t="str">
        <f t="shared" si="2"/>
        <v>－</v>
      </c>
      <c r="J58" s="648" t="str">
        <f t="shared" si="3"/>
        <v>－</v>
      </c>
    </row>
    <row r="59" spans="1:10">
      <c r="A59" s="446" t="s">
        <v>92</v>
      </c>
      <c r="B59" s="447"/>
      <c r="C59" s="443"/>
      <c r="D59" s="443"/>
      <c r="E59" s="444"/>
      <c r="F59" s="819" t="str">
        <f>IFERROR((F18+F21)/(F184*F97*12),"－")</f>
        <v>－</v>
      </c>
      <c r="G59" s="834"/>
      <c r="H59" s="632" t="str">
        <f>IFERROR((J18+J21)/(J184*J97*12),"－")</f>
        <v>－</v>
      </c>
      <c r="I59" s="647" t="str">
        <f t="shared" si="2"/>
        <v>－</v>
      </c>
      <c r="J59" s="648" t="str">
        <f t="shared" si="3"/>
        <v>－</v>
      </c>
    </row>
    <row r="60" spans="1:10">
      <c r="A60" s="446" t="s">
        <v>93</v>
      </c>
      <c r="B60" s="446"/>
      <c r="C60" s="442"/>
      <c r="D60" s="442"/>
      <c r="E60" s="444"/>
      <c r="F60" s="819" t="str">
        <f>IFERROR((F93+F94-F95)/(F184*F97*12),"－")</f>
        <v>－</v>
      </c>
      <c r="G60" s="834"/>
      <c r="H60" s="632" t="str">
        <f>IFERROR((J93+J94-J95)/(J184*J97*12),"－")</f>
        <v>－</v>
      </c>
      <c r="I60" s="647" t="str">
        <f t="shared" si="2"/>
        <v>－</v>
      </c>
      <c r="J60" s="648" t="str">
        <f t="shared" si="3"/>
        <v>－</v>
      </c>
    </row>
    <row r="61" spans="1:10">
      <c r="A61" s="446" t="s">
        <v>94</v>
      </c>
      <c r="B61" s="446"/>
      <c r="C61" s="442"/>
      <c r="D61" s="442"/>
      <c r="E61" s="444"/>
      <c r="F61" s="819" t="str">
        <f>IFERROR(F53+SUM(F57:G60),"－")</f>
        <v>－</v>
      </c>
      <c r="G61" s="820"/>
      <c r="H61" s="632" t="str">
        <f>IFERROR(H53+SUM(H57:H60),"－")</f>
        <v>－</v>
      </c>
      <c r="I61" s="647" t="str">
        <f t="shared" si="2"/>
        <v>－</v>
      </c>
      <c r="J61" s="648" t="str">
        <f t="shared" si="3"/>
        <v>－</v>
      </c>
    </row>
    <row r="62" spans="1:10">
      <c r="A62" s="446" t="s">
        <v>95</v>
      </c>
      <c r="B62" s="447"/>
      <c r="C62" s="443"/>
      <c r="D62" s="443"/>
      <c r="E62" s="444"/>
      <c r="F62" s="819" t="str">
        <f>IFERROR(F15/(F184*F97*12),"－")</f>
        <v>－</v>
      </c>
      <c r="G62" s="834"/>
      <c r="H62" s="632" t="str">
        <f>IFERROR(J15/(J184*J97*12),"－")</f>
        <v>－</v>
      </c>
      <c r="I62" s="647" t="str">
        <f t="shared" si="2"/>
        <v>－</v>
      </c>
      <c r="J62" s="648" t="str">
        <f t="shared" si="3"/>
        <v>－</v>
      </c>
    </row>
    <row r="63" spans="1:10" ht="14.25" thickBot="1">
      <c r="A63" s="448" t="s">
        <v>161</v>
      </c>
      <c r="B63" s="448"/>
      <c r="C63" s="449"/>
      <c r="D63" s="449"/>
      <c r="E63" s="450"/>
      <c r="F63" s="835" t="str">
        <f>IFERROR(F61-F62,"－")</f>
        <v>－</v>
      </c>
      <c r="G63" s="836"/>
      <c r="H63" s="646" t="str">
        <f>IFERROR(H61-H62,"－")</f>
        <v>－</v>
      </c>
      <c r="I63" s="650" t="str">
        <f t="shared" si="2"/>
        <v>－</v>
      </c>
      <c r="J63" s="649" t="str">
        <f t="shared" si="3"/>
        <v>－</v>
      </c>
    </row>
    <row r="64" spans="1:10">
      <c r="A64" s="407"/>
      <c r="B64" s="411"/>
      <c r="C64" s="411"/>
      <c r="D64" s="411"/>
      <c r="E64" s="411"/>
      <c r="F64" s="411"/>
      <c r="G64" s="411"/>
      <c r="H64" s="411"/>
      <c r="I64" s="411"/>
      <c r="J64" s="411"/>
    </row>
    <row r="65" spans="1:10" ht="14.25" thickBot="1">
      <c r="A65" s="407" t="s">
        <v>163</v>
      </c>
    </row>
    <row r="66" spans="1:10">
      <c r="A66" s="455"/>
      <c r="B66" s="456"/>
      <c r="C66" s="456"/>
      <c r="D66" s="456"/>
      <c r="E66" s="456"/>
      <c r="F66" s="852" t="s">
        <v>260</v>
      </c>
      <c r="G66" s="853"/>
      <c r="H66" s="853"/>
      <c r="I66" s="854"/>
      <c r="J66" s="837" t="s">
        <v>261</v>
      </c>
    </row>
    <row r="67" spans="1:10" ht="14.25" thickBot="1">
      <c r="A67" s="457"/>
      <c r="B67" s="406"/>
      <c r="C67" s="406"/>
      <c r="D67" s="406"/>
      <c r="E67" s="406"/>
      <c r="F67" s="458" t="s">
        <v>164</v>
      </c>
      <c r="G67" s="459" t="s">
        <v>262</v>
      </c>
      <c r="H67" s="460" t="s">
        <v>263</v>
      </c>
      <c r="I67" s="461" t="s">
        <v>264</v>
      </c>
      <c r="J67" s="838"/>
    </row>
    <row r="68" spans="1:10">
      <c r="A68" s="462" t="s">
        <v>165</v>
      </c>
      <c r="B68" s="463"/>
      <c r="C68" s="463"/>
      <c r="D68" s="463"/>
      <c r="E68" s="463"/>
      <c r="F68" s="651">
        <f>SUM(G68:I68)</f>
        <v>7679808878</v>
      </c>
      <c r="G68" s="655">
        <f>G69+G73+G76+G77+G78</f>
        <v>2531883251</v>
      </c>
      <c r="H68" s="656">
        <f>H69+H73+H76+H77+H78</f>
        <v>2560340300</v>
      </c>
      <c r="I68" s="657">
        <f>I69+I73+I76+I77+I78</f>
        <v>2587585327</v>
      </c>
      <c r="J68" s="658">
        <f>J69+J73+J76+J77+J78</f>
        <v>2368091773</v>
      </c>
    </row>
    <row r="69" spans="1:10">
      <c r="A69" s="464"/>
      <c r="B69" s="465" t="s">
        <v>272</v>
      </c>
      <c r="C69" s="465"/>
      <c r="D69" s="465"/>
      <c r="E69" s="438"/>
      <c r="F69" s="652">
        <f>F70-F71+F72</f>
        <v>7075314878</v>
      </c>
      <c r="G69" s="633">
        <f t="shared" ref="G69:J69" si="4">G70-G71+G72</f>
        <v>2330385251</v>
      </c>
      <c r="H69" s="634">
        <f t="shared" si="4"/>
        <v>2358842300</v>
      </c>
      <c r="I69" s="635">
        <f t="shared" si="4"/>
        <v>2386087327</v>
      </c>
      <c r="J69" s="637">
        <f t="shared" si="4"/>
        <v>2175201773</v>
      </c>
    </row>
    <row r="70" spans="1:10">
      <c r="A70" s="437"/>
      <c r="B70" s="465"/>
      <c r="C70" s="466" t="s">
        <v>273</v>
      </c>
      <c r="D70" s="467"/>
      <c r="E70" s="467"/>
      <c r="F70" s="653">
        <f t="shared" ref="F70:F76" si="5">SUM(G70:I70)</f>
        <v>6993223000</v>
      </c>
      <c r="G70" s="633">
        <f>'2_サービス別給付費'!G138*1000</f>
        <v>2330836000</v>
      </c>
      <c r="H70" s="634">
        <f>'2_サービス別給付費'!H138*1000</f>
        <v>2331548000</v>
      </c>
      <c r="I70" s="635">
        <f>'2_サービス別給付費'!I138*1000</f>
        <v>2330839000</v>
      </c>
      <c r="J70" s="636">
        <f>'2_サービス別給付費'!J138*1000</f>
        <v>2175818000</v>
      </c>
    </row>
    <row r="71" spans="1:10">
      <c r="A71" s="464"/>
      <c r="B71" s="465"/>
      <c r="C71" s="839" t="s">
        <v>166</v>
      </c>
      <c r="D71" s="840"/>
      <c r="E71" s="841"/>
      <c r="F71" s="653">
        <f t="shared" si="5"/>
        <v>1802505</v>
      </c>
      <c r="G71" s="470">
        <v>450749</v>
      </c>
      <c r="H71" s="471">
        <v>676162</v>
      </c>
      <c r="I71" s="472">
        <v>675594</v>
      </c>
      <c r="J71" s="473">
        <v>616227</v>
      </c>
    </row>
    <row r="72" spans="1:10">
      <c r="A72" s="464"/>
      <c r="B72" s="469"/>
      <c r="C72" s="618" t="s">
        <v>265</v>
      </c>
      <c r="D72" s="475"/>
      <c r="E72" s="619"/>
      <c r="F72" s="653">
        <f>SUM(G72:I72)</f>
        <v>83894383</v>
      </c>
      <c r="G72" s="470">
        <v>0</v>
      </c>
      <c r="H72" s="471">
        <v>27970462</v>
      </c>
      <c r="I72" s="472">
        <v>55923921</v>
      </c>
      <c r="J72" s="473">
        <v>0</v>
      </c>
    </row>
    <row r="73" spans="1:10">
      <c r="A73" s="464"/>
      <c r="B73" s="842" t="s">
        <v>274</v>
      </c>
      <c r="C73" s="843"/>
      <c r="D73" s="843"/>
      <c r="E73" s="843"/>
      <c r="F73" s="653">
        <f t="shared" si="5"/>
        <v>411000000</v>
      </c>
      <c r="G73" s="633">
        <f>G74-G75</f>
        <v>137000000</v>
      </c>
      <c r="H73" s="634">
        <f>H74-H75</f>
        <v>137000000</v>
      </c>
      <c r="I73" s="635">
        <f>I74-I75</f>
        <v>137000000</v>
      </c>
      <c r="J73" s="637">
        <f>J74-J75</f>
        <v>135000000</v>
      </c>
    </row>
    <row r="74" spans="1:10">
      <c r="A74" s="437"/>
      <c r="B74" s="465"/>
      <c r="C74" s="474" t="s">
        <v>275</v>
      </c>
      <c r="D74" s="475"/>
      <c r="E74" s="475"/>
      <c r="F74" s="653">
        <f t="shared" si="5"/>
        <v>411000000</v>
      </c>
      <c r="G74" s="470">
        <v>137000000</v>
      </c>
      <c r="H74" s="471">
        <v>137000000</v>
      </c>
      <c r="I74" s="472">
        <v>137000000</v>
      </c>
      <c r="J74" s="473">
        <v>135000000</v>
      </c>
    </row>
    <row r="75" spans="1:10">
      <c r="A75" s="464"/>
      <c r="B75" s="469"/>
      <c r="C75" s="474" t="s">
        <v>167</v>
      </c>
      <c r="D75" s="475"/>
      <c r="E75" s="475"/>
      <c r="F75" s="653">
        <f t="shared" si="5"/>
        <v>0</v>
      </c>
      <c r="G75" s="476">
        <v>0</v>
      </c>
      <c r="H75" s="471">
        <v>0</v>
      </c>
      <c r="I75" s="472">
        <v>0</v>
      </c>
      <c r="J75" s="473">
        <v>0</v>
      </c>
    </row>
    <row r="76" spans="1:10">
      <c r="A76" s="464"/>
      <c r="B76" s="474" t="s">
        <v>168</v>
      </c>
      <c r="C76" s="477"/>
      <c r="D76" s="477"/>
      <c r="E76" s="477"/>
      <c r="F76" s="653">
        <f t="shared" si="5"/>
        <v>168000000</v>
      </c>
      <c r="G76" s="470">
        <v>56000000</v>
      </c>
      <c r="H76" s="471">
        <v>56000000</v>
      </c>
      <c r="I76" s="472">
        <v>56000000</v>
      </c>
      <c r="J76" s="473">
        <v>50000000</v>
      </c>
    </row>
    <row r="77" spans="1:10">
      <c r="A77" s="464"/>
      <c r="B77" s="474" t="s">
        <v>169</v>
      </c>
      <c r="C77" s="477"/>
      <c r="D77" s="477"/>
      <c r="E77" s="477"/>
      <c r="F77" s="653">
        <f>SUM(G77:I77)</f>
        <v>19500000</v>
      </c>
      <c r="G77" s="470">
        <v>6500000</v>
      </c>
      <c r="H77" s="471">
        <v>6500000</v>
      </c>
      <c r="I77" s="472">
        <v>6500000</v>
      </c>
      <c r="J77" s="473">
        <v>6000000</v>
      </c>
    </row>
    <row r="78" spans="1:10">
      <c r="A78" s="464"/>
      <c r="B78" s="465" t="s">
        <v>170</v>
      </c>
      <c r="C78" s="438"/>
      <c r="D78" s="438"/>
      <c r="E78" s="438"/>
      <c r="F78" s="653">
        <f>SUM(G78:I78)</f>
        <v>5994000</v>
      </c>
      <c r="G78" s="633">
        <f>G79*G80-G81</f>
        <v>1998000</v>
      </c>
      <c r="H78" s="634">
        <f>H79*H80-H81</f>
        <v>1998000</v>
      </c>
      <c r="I78" s="635">
        <f>I79*I80-I81</f>
        <v>1998000</v>
      </c>
      <c r="J78" s="637">
        <f>J79*J80-J81</f>
        <v>1890000</v>
      </c>
    </row>
    <row r="79" spans="1:10">
      <c r="A79" s="437"/>
      <c r="B79" s="465"/>
      <c r="C79" s="478" t="s">
        <v>276</v>
      </c>
      <c r="D79" s="479"/>
      <c r="E79" s="480"/>
      <c r="F79" s="654"/>
      <c r="G79" s="470">
        <v>54</v>
      </c>
      <c r="H79" s="471">
        <v>54</v>
      </c>
      <c r="I79" s="472">
        <v>54</v>
      </c>
      <c r="J79" s="473">
        <v>54</v>
      </c>
    </row>
    <row r="80" spans="1:10">
      <c r="A80" s="437"/>
      <c r="B80" s="465"/>
      <c r="C80" s="481" t="s">
        <v>277</v>
      </c>
      <c r="D80" s="482"/>
      <c r="E80" s="480"/>
      <c r="F80" s="652">
        <f t="shared" ref="F80:F84" si="6">SUM(G80:I80)</f>
        <v>111000</v>
      </c>
      <c r="G80" s="470">
        <v>37000</v>
      </c>
      <c r="H80" s="471">
        <v>37000</v>
      </c>
      <c r="I80" s="472">
        <v>37000</v>
      </c>
      <c r="J80" s="473">
        <v>35000</v>
      </c>
    </row>
    <row r="81" spans="1:10" ht="13.5" customHeight="1">
      <c r="A81" s="483"/>
      <c r="B81" s="484"/>
      <c r="C81" s="485" t="s">
        <v>171</v>
      </c>
      <c r="D81" s="442"/>
      <c r="E81" s="442"/>
      <c r="F81" s="652">
        <f t="shared" si="6"/>
        <v>0</v>
      </c>
      <c r="G81" s="633">
        <f>IF(G79-'(参考)保険料の推計に要する係数'!$D$34&gt;0,(G79-'(参考)保険料の推計に要する係数'!$D$34)*G80,0)</f>
        <v>0</v>
      </c>
      <c r="H81" s="634">
        <f>IF(H79-'(参考)保険料の推計に要する係数'!$D$34&gt;0,(H79-'(参考)保険料の推計に要する係数'!$D$34)*H80,0)</f>
        <v>0</v>
      </c>
      <c r="I81" s="635">
        <f>IF(I79-'(参考)保険料の推計に要する係数'!$D$34&gt;0,(I79-'(参考)保険料の推計に要する係数'!$D$34)*I80,0)</f>
        <v>0</v>
      </c>
      <c r="J81" s="637">
        <f>IF(J79-'(参考)保険料の推計に要する係数'!$D$34&gt;0,(J79-'(参考)保険料の推計に要する係数'!$D$34)*J80,0)</f>
        <v>0</v>
      </c>
    </row>
    <row r="82" spans="1:10">
      <c r="A82" s="417" t="s">
        <v>172</v>
      </c>
      <c r="B82" s="486"/>
      <c r="C82" s="486"/>
      <c r="D82" s="486"/>
      <c r="E82" s="486"/>
      <c r="F82" s="652">
        <f t="shared" si="6"/>
        <v>423000000</v>
      </c>
      <c r="G82" s="634">
        <f>SUM(G83:G84)</f>
        <v>141000000</v>
      </c>
      <c r="H82" s="634">
        <f>SUM(H83:H84)</f>
        <v>141000000</v>
      </c>
      <c r="I82" s="635">
        <f>SUM(I83:I84)</f>
        <v>141000000</v>
      </c>
      <c r="J82" s="637">
        <f>SUM(J83:J84)</f>
        <v>130000000</v>
      </c>
    </row>
    <row r="83" spans="1:10">
      <c r="A83" s="457"/>
      <c r="B83" s="424" t="s">
        <v>173</v>
      </c>
      <c r="C83" s="419"/>
      <c r="D83" s="419"/>
      <c r="E83" s="419"/>
      <c r="F83" s="652">
        <f t="shared" si="6"/>
        <v>282000000</v>
      </c>
      <c r="G83" s="471">
        <v>94000000</v>
      </c>
      <c r="H83" s="471">
        <v>94000000</v>
      </c>
      <c r="I83" s="472">
        <v>94000000</v>
      </c>
      <c r="J83" s="473">
        <v>90000000</v>
      </c>
    </row>
    <row r="84" spans="1:10">
      <c r="A84" s="457"/>
      <c r="B84" s="424" t="s">
        <v>174</v>
      </c>
      <c r="C84" s="419"/>
      <c r="D84" s="419"/>
      <c r="E84" s="419"/>
      <c r="F84" s="652">
        <f t="shared" si="6"/>
        <v>141000000</v>
      </c>
      <c r="G84" s="471">
        <v>47000000</v>
      </c>
      <c r="H84" s="471">
        <v>47000000</v>
      </c>
      <c r="I84" s="472">
        <v>47000000</v>
      </c>
      <c r="J84" s="473">
        <v>40000000</v>
      </c>
    </row>
    <row r="85" spans="1:10">
      <c r="A85" s="702" t="s">
        <v>175</v>
      </c>
      <c r="B85" s="691"/>
      <c r="C85" s="691"/>
      <c r="D85" s="691"/>
      <c r="E85" s="691"/>
      <c r="F85" s="652">
        <f>SUM(G85:I85)</f>
        <v>1863646041.9400001</v>
      </c>
      <c r="G85" s="633">
        <f>(G68+G82)*'(参考)保険料の推計に要する係数'!$D$5</f>
        <v>614763147.73000002</v>
      </c>
      <c r="H85" s="638">
        <f>(H68+H82)*'(参考)保険料の推計に要する係数'!$D$5</f>
        <v>621308269</v>
      </c>
      <c r="I85" s="639">
        <f>(I68+I82)*'(参考)保険料の推計に要する係数'!$D$5</f>
        <v>627574625.21000004</v>
      </c>
      <c r="J85" s="637">
        <f>(J68+J82)*'(参考)保険料の推計に要する係数'!$E$5</f>
        <v>624522943.25</v>
      </c>
    </row>
    <row r="86" spans="1:10" s="692" customFormat="1" ht="13.5" customHeight="1">
      <c r="A86" s="724" t="s">
        <v>176</v>
      </c>
      <c r="B86" s="725"/>
      <c r="C86" s="725"/>
      <c r="D86" s="725"/>
      <c r="E86" s="726"/>
      <c r="F86" s="703">
        <f t="shared" ref="F86" si="7">SUM(G86:I86)</f>
        <v>398090443.90000004</v>
      </c>
      <c r="G86" s="704">
        <f>(G68+G83)*0.05</f>
        <v>131294162.55000001</v>
      </c>
      <c r="H86" s="705">
        <f t="shared" ref="H86:J86" si="8">(H68+H83)*0.05</f>
        <v>132717015</v>
      </c>
      <c r="I86" s="706">
        <f t="shared" si="8"/>
        <v>134079266.35000001</v>
      </c>
      <c r="J86" s="707">
        <f t="shared" si="8"/>
        <v>122904588.65000001</v>
      </c>
    </row>
    <row r="87" spans="1:10" s="692" customFormat="1" ht="13.5" customHeight="1">
      <c r="A87" s="727" t="s">
        <v>295</v>
      </c>
      <c r="B87" s="728"/>
      <c r="C87" s="729"/>
      <c r="D87" s="730"/>
      <c r="E87" s="731"/>
      <c r="F87" s="718">
        <f>SUM(G87:I87)</f>
        <v>716750000</v>
      </c>
      <c r="G87" s="708">
        <f>ROUND((G68+G83)*G88,-3)</f>
        <v>240531000</v>
      </c>
      <c r="H87" s="709">
        <f>ROUND((H68+H83)*H88,-3)</f>
        <v>238094000</v>
      </c>
      <c r="I87" s="710">
        <f>ROUND((I68+I83)*I88,-3)</f>
        <v>238125000</v>
      </c>
      <c r="J87" s="711">
        <f>ROUND((J68+J83)*J88,-3)</f>
        <v>234010000</v>
      </c>
    </row>
    <row r="88" spans="1:10" s="692" customFormat="1" ht="13.5" customHeight="1">
      <c r="A88" s="747" t="s">
        <v>296</v>
      </c>
      <c r="B88" s="732"/>
      <c r="C88" s="733"/>
      <c r="D88" s="734"/>
      <c r="E88" s="735"/>
      <c r="F88" s="716"/>
      <c r="G88" s="757">
        <f>IF(G92&lt;&gt;0,IF(('(参考)保険料の推計に要する係数'!$D$5+0.05)-'(参考)保険料の推計に要する係数'!$D$5*G89*G92&gt;0,ROUND(('(参考)保険料の推計に要する係数'!$D$5+0.05)-('(参考)保険料の推計に要する係数'!$D$5*G89*G92),4),0),0)</f>
        <v>9.1600000000000001E-2</v>
      </c>
      <c r="H88" s="757">
        <f>IF(H92&lt;&gt;0,IF(('(参考)保険料の推計に要する係数'!$D$5+0.05)-'(参考)保険料の推計に要する係数'!$D$5*H89*H92&gt;0,ROUND(('(参考)保険料の推計に要する係数'!$D$5+0.05)-('(参考)保険料の推計に要する係数'!$D$5*H89*H92),4),0),0)</f>
        <v>8.9700000000000002E-2</v>
      </c>
      <c r="I88" s="758">
        <f>IF(I92&lt;&gt;0,IF(('(参考)保険料の推計に要する係数'!$D$5+0.05)-'(参考)保険料の推計に要する係数'!$D$5*I89*I92&gt;0,ROUND(('(参考)保険料の推計に要する係数'!$D$5+0.05)-('(参考)保険料の推計に要する係数'!$D$5*I89*I92),4),0),0)</f>
        <v>8.8800000000000004E-2</v>
      </c>
      <c r="J88" s="759">
        <f>IF(J92&lt;&gt;0,IF(('(参考)保険料の推計に要する係数'!$E$5+0.05)-'(参考)保険料の推計に要する係数'!$E$5*J89*J92&gt;0,ROUND(('(参考)保険料の推計に要する係数'!$E$5+0.05)-('(参考)保険料の推計に要する係数'!$E$5*J89*J92),4),0),0)</f>
        <v>9.5200000000000007E-2</v>
      </c>
    </row>
    <row r="89" spans="1:10" s="692" customFormat="1" ht="13.5" customHeight="1">
      <c r="A89" s="748"/>
      <c r="B89" s="732" t="s">
        <v>293</v>
      </c>
      <c r="C89" s="737"/>
      <c r="D89" s="737"/>
      <c r="E89" s="738"/>
      <c r="F89" s="712"/>
      <c r="G89" s="713">
        <f>ROUND((G90+G91)/2,4)</f>
        <v>0.86870000000000003</v>
      </c>
      <c r="H89" s="713">
        <f t="shared" ref="H89" si="9">ROUND((H90+H91)/2,4)</f>
        <v>0.87719999999999998</v>
      </c>
      <c r="I89" s="714">
        <f>ROUND((I90+I91)/2,4)</f>
        <v>0.88160000000000005</v>
      </c>
      <c r="J89" s="715">
        <f>J91</f>
        <v>0.86890000000000001</v>
      </c>
    </row>
    <row r="90" spans="1:10" s="692" customFormat="1" ht="13.5" customHeight="1">
      <c r="A90" s="736"/>
      <c r="B90" s="739"/>
      <c r="C90" s="740" t="s">
        <v>291</v>
      </c>
      <c r="D90" s="737"/>
      <c r="E90" s="738"/>
      <c r="F90" s="712"/>
      <c r="G90" s="713">
        <f>IF(SUM(G103:G104)&gt;0,
                 ROUND(
                              (
                                    '(参考)保険料の推計に要する係数'!D9*'(参考)保険料の推計に要する係数'!D13
                                  +'(参考)保険料の推計に要する係数'!D10*'(参考)保険料の推計に要する係数'!D14
                              )
                              /
                              (
                                    ROUND(G103/G102,4)*'(参考)保険料の推計に要する係数'!D13
                                  +ROUND(G104/G102,4)*'(参考)保険料の推計に要する係数'!D14
                              ),4),0)</f>
        <v>0.90359999999999996</v>
      </c>
      <c r="H90" s="713">
        <f>IF(SUM(H103:H104)&gt;0,
                 ROUND(
                              (
                                    '(参考)保険料の推計に要する係数'!E9*'(参考)保険料の推計に要する係数'!E13
                                  +'(参考)保険料の推計に要する係数'!E10*'(参考)保険料の推計に要する係数'!E14
                              )
                              /
                              (
                                    ROUND(H103/H102,4)*'(参考)保険料の推計に要する係数'!E13
                                  +ROUND(H104/H102,4)*'(参考)保険料の推計に要する係数'!E14
                              ),4),0)</f>
        <v>0.91539999999999999</v>
      </c>
      <c r="I90" s="714">
        <f>IF(SUM(I103:I104)&gt;0,
                 ROUND(
                              (
                                    '(参考)保険料の推計に要する係数'!F9*'(参考)保険料の推計に要する係数'!F13
                                  +'(参考)保険料の推計に要する係数'!F10*'(参考)保険料の推計に要する係数'!F14
                              )
                              /
                              (
                                    ROUND(I103/I102,4)*'(参考)保険料の推計に要する係数'!F13
                                  +ROUND(I104/I102,4)*'(参考)保険料の推計に要する係数'!F14
                              ),4),0)</f>
        <v>0.92169999999999996</v>
      </c>
      <c r="J90" s="717"/>
    </row>
    <row r="91" spans="1:10" s="692" customFormat="1" ht="13.5" customHeight="1">
      <c r="A91" s="736"/>
      <c r="B91" s="741"/>
      <c r="C91" s="740" t="s">
        <v>292</v>
      </c>
      <c r="D91" s="742"/>
      <c r="E91" s="743"/>
      <c r="F91" s="716"/>
      <c r="G91" s="713">
        <f>IF(SUM(G103:G104)&gt;0,
                 ROUND(
                              (
                                    '(参考)保険料の推計に要する係数'!D9*'(参考)保険料の推計に要する係数'!D13
                                  +'(参考)保険料の推計に要する係数'!D11*'(参考)保険料の推計に要する係数'!D15
                                  +'(参考)保険料の推計に要する係数'!D12*'(参考)保険料の推計に要する係数'!D16
                              )
                              /
                              (
                                   ROUND(G103/G102,4)*'(参考)保険料の推計に要する係数'!D13
                                  +ROUND(G105/G102,4)*'(参考)保険料の推計に要する係数'!D15
                                  +ROUND(G106/G102,4)*'(参考)保険料の推計に要する係数'!D16
                              ),4),0)</f>
        <v>0.8337</v>
      </c>
      <c r="H91" s="713">
        <f>IF(SUM(H103:H104)&gt;0,
                 ROUND(
                              (
                                    '(参考)保険料の推計に要する係数'!E9*'(参考)保険料の推計に要する係数'!E13
                                  +'(参考)保険料の推計に要する係数'!E11*'(参考)保険料の推計に要する係数'!E15
                                  +'(参考)保険料の推計に要する係数'!E12*'(参考)保険料の推計に要する係数'!E16
                              )
                              /
                              (
                                   ROUND(H103/H102,4)*'(参考)保険料の推計に要する係数'!E13
                                  +ROUND(H105/H102,4)*'(参考)保険料の推計に要する係数'!E15
                                  +ROUND(H106/H102,4)*'(参考)保険料の推計に要する係数'!E16
                              ),4),0)</f>
        <v>0.83899999999999997</v>
      </c>
      <c r="I91" s="714">
        <f>IF(SUM(I103:I104)&gt;0,
                 ROUND(
                              (
                                    '(参考)保険料の推計に要する係数'!F9*'(参考)保険料の推計に要する係数'!F13
                                  +'(参考)保険料の推計に要する係数'!F11*'(参考)保険料の推計に要する係数'!F15
                                  +'(参考)保険料の推計に要する係数'!F12*'(参考)保険料の推計に要する係数'!F16
                              )
                              /
                              (
                                   ROUND(I103/I102,4)*'(参考)保険料の推計に要する係数'!F13
                                  +ROUND(I105/I102,4)*'(参考)保険料の推計に要する係数'!F15
                                  +ROUND(I106/I102,4)*'(参考)保険料の推計に要する係数'!F16
                              ),4),0)</f>
        <v>0.84150000000000003</v>
      </c>
      <c r="J91" s="715">
        <f>IF(SUM(J103:J104)&gt;0,
                 ROUND(
                              (
                                    '(参考)保険料の推計に要する係数'!G9*'(参考)保険料の推計に要する係数'!G13
                                  +'(参考)保険料の推計に要する係数'!G11*'(参考)保険料の推計に要する係数'!G15
                                  +'(参考)保険料の推計に要する係数'!G12*'(参考)保険料の推計に要する係数'!G16
                              )
                              /
                              (
                                   ROUND(J103/J102,4)*'(参考)保険料の推計に要する係数'!G13
                                  +ROUND(J105/J102,4)*'(参考)保険料の推計に要する係数'!G15
                                  +ROUND(J106/J102,4)*'(参考)保険料の推計に要する係数'!G16
                              ),4),0)</f>
        <v>0.86890000000000001</v>
      </c>
    </row>
    <row r="92" spans="1:10" s="692" customFormat="1" ht="13.5" customHeight="1">
      <c r="A92" s="736"/>
      <c r="B92" s="728" t="s">
        <v>294</v>
      </c>
      <c r="C92" s="744"/>
      <c r="D92" s="744"/>
      <c r="E92" s="745"/>
      <c r="F92" s="712"/>
      <c r="G92" s="713">
        <f>IF(G128&gt;0,ROUND(
                            1-(
                                    0.5*(ROUND(G108,3)-'(参考)保険料の推計に要する係数'!$D19)
                                 +0.25*(ROUND(G109,3)-'(参考)保険料の推計に要する係数'!$D20)
                                 +0.25*(ROUND(G110,3)-'(参考)保険料の推計に要する係数'!$D21)
                                   +0.1*(ROUND(G111,3)-'(参考)保険料の推計に要する係数'!$D22)
                                     +0*(ROUND(G112,3)-'(参考)保険料の推計に要する係数'!$D23)
                                   -0.2*(ROUND(G113,3)-'(参考)保険料の推計に要する係数'!$D24)
                                   -0.3*(ROUND(G114,3)-'(参考)保険料の推計に要する係数'!$D25)
                                   -0.5*(ROUND(G115,3)-'(参考)保険料の推計に要する係数'!$D26)
                                   -0.7*(ROUND(G116,3)-'(参考)保険料の推計に要する係数'!$D27)
                                 ),4),0)</f>
        <v>0.94299999999999995</v>
      </c>
      <c r="H92" s="713">
        <f>IF(H128&gt;0,ROUND(
                            1-(
                                    0.5*(ROUND(H108,3)-'(参考)保険料の推計に要する係数'!$D19)
                                 +0.25*(ROUND(H109,3)-'(参考)保険料の推計に要する係数'!$D20)
                                 +0.25*(ROUND(H110,3)-'(参考)保険料の推計に要する係数'!$D21)
                                   +0.1*(ROUND(H111,3)-'(参考)保険料の推計に要する係数'!$D22)
                                     +0*(ROUND(H112,3)-'(参考)保険料の推計に要する係数'!$D23)
                                   -0.2*(ROUND(H113,3)-'(参考)保険料の推計に要する係数'!$D24)
                                   -0.3*(ROUND(H114,3)-'(参考)保険料の推計に要する係数'!$D25)
                                   -0.5*(ROUND(H115,3)-'(参考)保険料の推計に要する係数'!$D26)
                                   -0.7*(ROUND(H116,3)-'(参考)保険料の推計に要する係数'!$D27)
                                 ),4),0)</f>
        <v>0.94299999999999995</v>
      </c>
      <c r="I92" s="714">
        <f>IF(I128&gt;0,ROUND(
                            1-(
                                    0.5*(ROUND(I108,3)-'(参考)保険料の推計に要する係数'!$D19)
                                 +0.25*(ROUND(I109,3)-'(参考)保険料の推計に要する係数'!$D20)
                                 +0.25*(ROUND(I110,3)-'(参考)保険料の推計に要する係数'!$D21)
                                   +0.1*(ROUND(I111,3)-'(参考)保険料の推計に要する係数'!$D22)
                                     +0*(ROUND(I112,3)-'(参考)保険料の推計に要する係数'!$D23)
                                   -0.2*(ROUND(I113,3)-'(参考)保険料の推計に要する係数'!$D24)
                                   -0.3*(ROUND(I114,3)-'(参考)保険料の推計に要する係数'!$D25)
                                   -0.5*(ROUND(I115,3)-'(参考)保険料の推計に要する係数'!$D26)
                                   -0.7*(ROUND(I116,3)-'(参考)保険料の推計に要する係数'!$D27)
                                 ),4),0)</f>
        <v>0.94299999999999995</v>
      </c>
      <c r="J92" s="715">
        <f>IF(J128&gt;0,ROUND(
                            1-(
                                    0.5*(ROUND(J108,3)-'(参考)保険料の推計に要する係数'!$D19)
                                 +0.25*(ROUND(J109,3)-'(参考)保険料の推計に要する係数'!$D20)
                                 +0.25*(ROUND(J110,3)-'(参考)保険料の推計に要する係数'!$D21)
                                   +0.1*(ROUND(J111,3)-'(参考)保険料の推計に要する係数'!$D22)
                                     +0*(ROUND(J112,3)-'(参考)保険料の推計に要する係数'!$D23)
                                   -0.2*(ROUND(J113,3)-'(参考)保険料の推計に要する係数'!$D24)
                                   -0.3*(ROUND(J114,3)-'(参考)保険料の推計に要する係数'!$D25)
                                   -0.5*(ROUND(J115,3)-'(参考)保険料の推計に要する係数'!$D26)
                                   -0.7*(ROUND(J116,3)-'(参考)保険料の推計に要する係数'!$D27)
                                 ),4),0)</f>
        <v>0.94299999999999995</v>
      </c>
    </row>
    <row r="93" spans="1:10">
      <c r="A93" s="746" t="s">
        <v>177</v>
      </c>
      <c r="B93" s="487"/>
      <c r="C93" s="487"/>
      <c r="D93" s="487"/>
      <c r="E93" s="487"/>
      <c r="F93" s="652">
        <f>SUM(G93:I93)</f>
        <v>0</v>
      </c>
      <c r="G93" s="470">
        <v>0</v>
      </c>
      <c r="H93" s="476">
        <v>0</v>
      </c>
      <c r="I93" s="488">
        <v>0</v>
      </c>
      <c r="J93" s="473">
        <v>0</v>
      </c>
    </row>
    <row r="94" spans="1:10">
      <c r="A94" s="489" t="s">
        <v>178</v>
      </c>
      <c r="B94" s="419"/>
      <c r="C94" s="419"/>
      <c r="D94" s="419"/>
      <c r="E94" s="419"/>
      <c r="F94" s="490">
        <v>0</v>
      </c>
      <c r="G94" s="491"/>
      <c r="H94" s="492"/>
      <c r="I94" s="493"/>
      <c r="J94" s="473">
        <v>0</v>
      </c>
    </row>
    <row r="95" spans="1:10" ht="14.25" thickBot="1">
      <c r="A95" s="494" t="s">
        <v>179</v>
      </c>
      <c r="B95" s="495"/>
      <c r="C95" s="495"/>
      <c r="D95" s="495"/>
      <c r="E95" s="495"/>
      <c r="F95" s="496">
        <v>0</v>
      </c>
      <c r="G95" s="497"/>
      <c r="H95" s="498"/>
      <c r="I95" s="499"/>
      <c r="J95" s="500">
        <v>0</v>
      </c>
    </row>
    <row r="96" spans="1:10" ht="14.25" thickBot="1">
      <c r="A96" s="412" t="s">
        <v>180</v>
      </c>
      <c r="B96" s="413"/>
      <c r="C96" s="413"/>
      <c r="D96" s="413"/>
      <c r="E96" s="413"/>
      <c r="F96" s="659">
        <f>F85+F86-F87+F18+F21-F15+F81+F93+F94-F95</f>
        <v>1504986485.8400002</v>
      </c>
      <c r="G96" s="501"/>
      <c r="H96" s="502"/>
      <c r="I96" s="503"/>
      <c r="J96" s="660">
        <f>J85+J86-J87+J18+J21-J15+J81+J93+J94-J95</f>
        <v>511417531.89999998</v>
      </c>
    </row>
    <row r="97" spans="1:10" ht="14.25" thickBot="1">
      <c r="A97" s="408" t="s">
        <v>181</v>
      </c>
      <c r="B97" s="409"/>
      <c r="C97" s="409"/>
      <c r="D97" s="409"/>
      <c r="E97" s="409"/>
      <c r="F97" s="755">
        <v>0.99639999999999995</v>
      </c>
      <c r="G97" s="504"/>
      <c r="H97" s="505"/>
      <c r="I97" s="506"/>
      <c r="J97" s="756">
        <v>0.997</v>
      </c>
    </row>
    <row r="98" spans="1:10">
      <c r="A98" s="406"/>
      <c r="B98" s="406"/>
      <c r="C98" s="406"/>
      <c r="D98" s="406"/>
      <c r="E98" s="406"/>
      <c r="F98" s="106"/>
      <c r="G98" s="406"/>
      <c r="H98" s="406"/>
      <c r="I98" s="406"/>
      <c r="J98" s="406"/>
    </row>
    <row r="99" spans="1:10" ht="14.25" thickBot="1">
      <c r="A99" s="407" t="s">
        <v>182</v>
      </c>
    </row>
    <row r="100" spans="1:10">
      <c r="A100" s="455"/>
      <c r="B100" s="456"/>
      <c r="C100" s="456"/>
      <c r="D100" s="456"/>
      <c r="E100" s="456"/>
      <c r="F100" s="852" t="s">
        <v>278</v>
      </c>
      <c r="G100" s="853"/>
      <c r="H100" s="853"/>
      <c r="I100" s="854"/>
      <c r="J100" s="837" t="s">
        <v>279</v>
      </c>
    </row>
    <row r="101" spans="1:10" ht="14.25" thickBot="1">
      <c r="A101" s="457"/>
      <c r="B101" s="406"/>
      <c r="C101" s="406"/>
      <c r="D101" s="406"/>
      <c r="E101" s="406"/>
      <c r="F101" s="458" t="s">
        <v>164</v>
      </c>
      <c r="G101" s="459" t="s">
        <v>262</v>
      </c>
      <c r="H101" s="460" t="s">
        <v>263</v>
      </c>
      <c r="I101" s="461" t="s">
        <v>264</v>
      </c>
      <c r="J101" s="838"/>
    </row>
    <row r="102" spans="1:10">
      <c r="A102" s="507" t="s">
        <v>183</v>
      </c>
      <c r="B102" s="508"/>
      <c r="C102" s="508"/>
      <c r="D102" s="508"/>
      <c r="E102" s="509"/>
      <c r="F102" s="661">
        <f>SUM(G102:I102)</f>
        <v>20850</v>
      </c>
      <c r="G102" s="640">
        <f>'1_推計値サマリ'!G12</f>
        <v>7005</v>
      </c>
      <c r="H102" s="640">
        <f>'1_推計値サマリ'!H12</f>
        <v>6950</v>
      </c>
      <c r="I102" s="641">
        <f>'1_推計値サマリ'!I12</f>
        <v>6895</v>
      </c>
      <c r="J102" s="642">
        <f>'1_推計値サマリ'!K12</f>
        <v>6293</v>
      </c>
    </row>
    <row r="103" spans="1:10">
      <c r="A103" s="510"/>
      <c r="B103" s="474" t="s">
        <v>184</v>
      </c>
      <c r="C103" s="480"/>
      <c r="D103" s="480"/>
      <c r="E103" s="511"/>
      <c r="F103" s="662">
        <f>SUM(G103:I103)</f>
        <v>8913</v>
      </c>
      <c r="G103" s="512">
        <v>2992</v>
      </c>
      <c r="H103" s="512">
        <v>2971</v>
      </c>
      <c r="I103" s="513">
        <v>2950</v>
      </c>
      <c r="J103" s="514">
        <v>2265</v>
      </c>
    </row>
    <row r="104" spans="1:10">
      <c r="A104" s="510"/>
      <c r="B104" s="696" t="s">
        <v>290</v>
      </c>
      <c r="C104" s="693"/>
      <c r="D104" s="693"/>
      <c r="E104" s="694"/>
      <c r="F104" s="695">
        <f>SUM(F105:F106)</f>
        <v>11937</v>
      </c>
      <c r="G104" s="699">
        <f>SUM(G105:G106)</f>
        <v>4013</v>
      </c>
      <c r="H104" s="699">
        <f t="shared" ref="H104:J104" si="10">SUM(H105:H106)</f>
        <v>3979</v>
      </c>
      <c r="I104" s="700">
        <f t="shared" si="10"/>
        <v>3945</v>
      </c>
      <c r="J104" s="701">
        <f t="shared" si="10"/>
        <v>4028</v>
      </c>
    </row>
    <row r="105" spans="1:10">
      <c r="A105" s="510"/>
      <c r="B105" s="697"/>
      <c r="C105" s="480" t="s">
        <v>266</v>
      </c>
      <c r="D105" s="480"/>
      <c r="E105" s="511"/>
      <c r="F105" s="662">
        <f>SUM(G105:I105)</f>
        <v>7071</v>
      </c>
      <c r="G105" s="512">
        <v>2423</v>
      </c>
      <c r="H105" s="512">
        <v>2357</v>
      </c>
      <c r="I105" s="513">
        <v>2291</v>
      </c>
      <c r="J105" s="514">
        <v>2428</v>
      </c>
    </row>
    <row r="106" spans="1:10">
      <c r="A106" s="510"/>
      <c r="B106" s="698"/>
      <c r="C106" s="480" t="s">
        <v>252</v>
      </c>
      <c r="D106" s="480"/>
      <c r="E106" s="511"/>
      <c r="F106" s="662">
        <f>SUM(G106:I106)</f>
        <v>4866</v>
      </c>
      <c r="G106" s="512">
        <v>1590</v>
      </c>
      <c r="H106" s="512">
        <v>1622</v>
      </c>
      <c r="I106" s="513">
        <v>1654</v>
      </c>
      <c r="J106" s="514">
        <v>1600</v>
      </c>
    </row>
    <row r="107" spans="1:10">
      <c r="A107" s="510"/>
      <c r="B107" s="465" t="s">
        <v>185</v>
      </c>
      <c r="C107" s="515"/>
      <c r="D107" s="515"/>
      <c r="E107" s="516"/>
      <c r="F107" s="517"/>
      <c r="G107" s="518"/>
      <c r="H107" s="518"/>
      <c r="I107" s="519"/>
      <c r="J107" s="520"/>
    </row>
    <row r="108" spans="1:10">
      <c r="A108" s="510"/>
      <c r="B108" s="521"/>
      <c r="C108" s="466" t="s">
        <v>186</v>
      </c>
      <c r="D108" s="522"/>
      <c r="E108" s="523"/>
      <c r="F108" s="663">
        <f>IF(F$102&gt;0,F119/F$102,0)</f>
        <v>0.14503597122302159</v>
      </c>
      <c r="G108" s="664">
        <f>IF(G$102&gt;0,G119/G$102,0)</f>
        <v>0.14503925767309064</v>
      </c>
      <c r="H108" s="664">
        <f>IF(H$102&gt;0,H119/H$102,0)</f>
        <v>0.14503597122302159</v>
      </c>
      <c r="I108" s="665">
        <f>IF(I$102&gt;0,I119/I$102,0)</f>
        <v>0.14503263234227701</v>
      </c>
      <c r="J108" s="666">
        <f>IF(J$102&gt;0,J119/J$102,0)</f>
        <v>0.14492293023994915</v>
      </c>
    </row>
    <row r="109" spans="1:10">
      <c r="A109" s="510"/>
      <c r="B109" s="521"/>
      <c r="C109" s="466" t="s">
        <v>187</v>
      </c>
      <c r="D109" s="522"/>
      <c r="E109" s="523"/>
      <c r="F109" s="663">
        <f t="shared" ref="F109:J117" si="11">IF(F$102&gt;0,F120/F$102,0)</f>
        <v>0.14402877697841726</v>
      </c>
      <c r="G109" s="664">
        <f t="shared" si="11"/>
        <v>0.14403997144896502</v>
      </c>
      <c r="H109" s="664">
        <f t="shared" si="11"/>
        <v>0.14402877697841726</v>
      </c>
      <c r="I109" s="665">
        <f t="shared" si="11"/>
        <v>0.14401740391588108</v>
      </c>
      <c r="J109" s="666">
        <f t="shared" si="11"/>
        <v>0.14396948990942318</v>
      </c>
    </row>
    <row r="110" spans="1:10">
      <c r="A110" s="510"/>
      <c r="B110" s="521"/>
      <c r="C110" s="466" t="s">
        <v>129</v>
      </c>
      <c r="D110" s="522"/>
      <c r="E110" s="523"/>
      <c r="F110" s="663">
        <f t="shared" si="11"/>
        <v>0.12100719424460432</v>
      </c>
      <c r="G110" s="664">
        <f t="shared" si="11"/>
        <v>0.12105638829407565</v>
      </c>
      <c r="H110" s="664">
        <f t="shared" si="11"/>
        <v>0.12100719424460432</v>
      </c>
      <c r="I110" s="665">
        <f t="shared" si="11"/>
        <v>0.12095721537345903</v>
      </c>
      <c r="J110" s="666">
        <f t="shared" si="11"/>
        <v>0.12092801525504529</v>
      </c>
    </row>
    <row r="111" spans="1:10">
      <c r="A111" s="510"/>
      <c r="B111" s="521"/>
      <c r="C111" s="466" t="s">
        <v>130</v>
      </c>
      <c r="D111" s="522"/>
      <c r="E111" s="523"/>
      <c r="F111" s="663">
        <f t="shared" si="11"/>
        <v>9.899280575539568E-2</v>
      </c>
      <c r="G111" s="664">
        <f t="shared" si="11"/>
        <v>9.8929336188436828E-2</v>
      </c>
      <c r="H111" s="664">
        <f t="shared" si="11"/>
        <v>9.899280575539568E-2</v>
      </c>
      <c r="I111" s="665">
        <f t="shared" si="11"/>
        <v>9.9057287889775206E-2</v>
      </c>
      <c r="J111" s="666">
        <f t="shared" si="11"/>
        <v>9.8998887652947717E-2</v>
      </c>
    </row>
    <row r="112" spans="1:10">
      <c r="A112" s="510"/>
      <c r="B112" s="521"/>
      <c r="C112" s="466" t="s">
        <v>131</v>
      </c>
      <c r="D112" s="522"/>
      <c r="E112" s="523"/>
      <c r="F112" s="663">
        <f t="shared" si="11"/>
        <v>0.19098321342925659</v>
      </c>
      <c r="G112" s="664">
        <f t="shared" si="11"/>
        <v>0.19100642398286938</v>
      </c>
      <c r="H112" s="664">
        <f t="shared" si="11"/>
        <v>0.19093525179856116</v>
      </c>
      <c r="I112" s="665">
        <f t="shared" si="11"/>
        <v>0.19100797679477882</v>
      </c>
      <c r="J112" s="666">
        <f t="shared" si="11"/>
        <v>0.1910058795487049</v>
      </c>
    </row>
    <row r="113" spans="1:10">
      <c r="A113" s="510"/>
      <c r="B113" s="521"/>
      <c r="C113" s="441" t="s">
        <v>267</v>
      </c>
      <c r="D113" s="442"/>
      <c r="E113" s="524"/>
      <c r="F113" s="663">
        <f t="shared" si="11"/>
        <v>0.15199040767386091</v>
      </c>
      <c r="G113" s="664">
        <f t="shared" si="11"/>
        <v>0.15203426124197003</v>
      </c>
      <c r="H113" s="664">
        <f t="shared" si="11"/>
        <v>0.15194244604316548</v>
      </c>
      <c r="I113" s="665">
        <f t="shared" si="11"/>
        <v>0.15199419869470632</v>
      </c>
      <c r="J113" s="666">
        <f t="shared" si="11"/>
        <v>0.15207373271889402</v>
      </c>
    </row>
    <row r="114" spans="1:10">
      <c r="A114" s="510"/>
      <c r="B114" s="521"/>
      <c r="C114" s="466" t="s">
        <v>268</v>
      </c>
      <c r="D114" s="442"/>
      <c r="E114" s="524"/>
      <c r="F114" s="663">
        <f t="shared" si="11"/>
        <v>8.7002398081534774E-2</v>
      </c>
      <c r="G114" s="664">
        <f t="shared" si="11"/>
        <v>8.693790149892934E-2</v>
      </c>
      <c r="H114" s="664">
        <f t="shared" si="11"/>
        <v>8.7050359712230213E-2</v>
      </c>
      <c r="I114" s="665">
        <f t="shared" si="11"/>
        <v>8.7019579405366212E-2</v>
      </c>
      <c r="J114" s="666">
        <f t="shared" si="11"/>
        <v>8.7080883521372957E-2</v>
      </c>
    </row>
    <row r="115" spans="1:10">
      <c r="A115" s="510"/>
      <c r="B115" s="521"/>
      <c r="C115" s="466" t="s">
        <v>269</v>
      </c>
      <c r="D115" s="442"/>
      <c r="E115" s="524"/>
      <c r="F115" s="663">
        <f t="shared" si="11"/>
        <v>3.5971223021582732E-2</v>
      </c>
      <c r="G115" s="664">
        <f t="shared" si="11"/>
        <v>3.5974304068522485E-2</v>
      </c>
      <c r="H115" s="664">
        <f t="shared" si="11"/>
        <v>3.5971223021582732E-2</v>
      </c>
      <c r="I115" s="665">
        <f t="shared" si="11"/>
        <v>3.5968092820884701E-2</v>
      </c>
      <c r="J115" s="666">
        <f t="shared" si="11"/>
        <v>3.6071825838232957E-2</v>
      </c>
    </row>
    <row r="116" spans="1:10">
      <c r="A116" s="510"/>
      <c r="B116" s="521"/>
      <c r="C116" s="441" t="s">
        <v>270</v>
      </c>
      <c r="D116" s="442"/>
      <c r="E116" s="524"/>
      <c r="F116" s="663">
        <f t="shared" si="11"/>
        <v>2.4988009592326138E-2</v>
      </c>
      <c r="G116" s="664">
        <f t="shared" si="11"/>
        <v>2.4982155603140613E-2</v>
      </c>
      <c r="H116" s="664">
        <f t="shared" si="11"/>
        <v>2.5035971223021584E-2</v>
      </c>
      <c r="I116" s="665">
        <f t="shared" si="11"/>
        <v>2.4945612762871647E-2</v>
      </c>
      <c r="J116" s="666">
        <f t="shared" si="11"/>
        <v>2.4948355315429844E-2</v>
      </c>
    </row>
    <row r="117" spans="1:10">
      <c r="A117" s="510"/>
      <c r="B117" s="521"/>
      <c r="C117" s="466" t="s">
        <v>41</v>
      </c>
      <c r="D117" s="522"/>
      <c r="E117" s="523"/>
      <c r="F117" s="663">
        <f t="shared" si="11"/>
        <v>1</v>
      </c>
      <c r="G117" s="664">
        <f t="shared" si="11"/>
        <v>1</v>
      </c>
      <c r="H117" s="664">
        <f t="shared" si="11"/>
        <v>1</v>
      </c>
      <c r="I117" s="665">
        <f t="shared" si="11"/>
        <v>1</v>
      </c>
      <c r="J117" s="666">
        <f t="shared" si="11"/>
        <v>1</v>
      </c>
    </row>
    <row r="118" spans="1:10">
      <c r="A118" s="510"/>
      <c r="B118" s="525" t="s">
        <v>188</v>
      </c>
      <c r="C118" s="466"/>
      <c r="D118" s="522"/>
      <c r="E118" s="523"/>
      <c r="F118" s="622"/>
      <c r="G118" s="526"/>
      <c r="H118" s="526"/>
      <c r="I118" s="527"/>
      <c r="J118" s="468"/>
    </row>
    <row r="119" spans="1:10">
      <c r="A119" s="510"/>
      <c r="B119" s="528"/>
      <c r="C119" s="478" t="s">
        <v>186</v>
      </c>
      <c r="D119" s="480"/>
      <c r="E119" s="511"/>
      <c r="F119" s="662">
        <f>SUM(G119:I119)</f>
        <v>3024</v>
      </c>
      <c r="G119" s="512">
        <v>1016</v>
      </c>
      <c r="H119" s="512">
        <v>1008</v>
      </c>
      <c r="I119" s="513">
        <v>1000</v>
      </c>
      <c r="J119" s="514">
        <v>912</v>
      </c>
    </row>
    <row r="120" spans="1:10">
      <c r="A120" s="510"/>
      <c r="B120" s="528"/>
      <c r="C120" s="478" t="s">
        <v>187</v>
      </c>
      <c r="D120" s="480"/>
      <c r="E120" s="511"/>
      <c r="F120" s="662">
        <f t="shared" ref="F120:F127" si="12">SUM(G120:I120)</f>
        <v>3003</v>
      </c>
      <c r="G120" s="512">
        <v>1009</v>
      </c>
      <c r="H120" s="512">
        <v>1001</v>
      </c>
      <c r="I120" s="513">
        <v>993</v>
      </c>
      <c r="J120" s="514">
        <v>906</v>
      </c>
    </row>
    <row r="121" spans="1:10">
      <c r="A121" s="510"/>
      <c r="B121" s="528"/>
      <c r="C121" s="478" t="s">
        <v>129</v>
      </c>
      <c r="D121" s="480"/>
      <c r="E121" s="511"/>
      <c r="F121" s="662">
        <f t="shared" si="12"/>
        <v>2523</v>
      </c>
      <c r="G121" s="512">
        <v>848</v>
      </c>
      <c r="H121" s="512">
        <v>841</v>
      </c>
      <c r="I121" s="513">
        <v>834</v>
      </c>
      <c r="J121" s="514">
        <v>761</v>
      </c>
    </row>
    <row r="122" spans="1:10">
      <c r="A122" s="510"/>
      <c r="B122" s="528"/>
      <c r="C122" s="478" t="s">
        <v>130</v>
      </c>
      <c r="D122" s="480"/>
      <c r="E122" s="511"/>
      <c r="F122" s="662">
        <f t="shared" si="12"/>
        <v>2064</v>
      </c>
      <c r="G122" s="512">
        <v>693</v>
      </c>
      <c r="H122" s="512">
        <v>688</v>
      </c>
      <c r="I122" s="513">
        <v>683</v>
      </c>
      <c r="J122" s="514">
        <v>623</v>
      </c>
    </row>
    <row r="123" spans="1:10">
      <c r="A123" s="510"/>
      <c r="B123" s="528"/>
      <c r="C123" s="478" t="s">
        <v>131</v>
      </c>
      <c r="D123" s="480"/>
      <c r="E123" s="511"/>
      <c r="F123" s="662">
        <f t="shared" si="12"/>
        <v>3982</v>
      </c>
      <c r="G123" s="512">
        <v>1338</v>
      </c>
      <c r="H123" s="512">
        <v>1327</v>
      </c>
      <c r="I123" s="513">
        <v>1317</v>
      </c>
      <c r="J123" s="514">
        <v>1202</v>
      </c>
    </row>
    <row r="124" spans="1:10">
      <c r="A124" s="510"/>
      <c r="B124" s="528"/>
      <c r="C124" s="474" t="s">
        <v>280</v>
      </c>
      <c r="D124" s="477"/>
      <c r="E124" s="529"/>
      <c r="F124" s="662">
        <f t="shared" si="12"/>
        <v>3169</v>
      </c>
      <c r="G124" s="512">
        <v>1065</v>
      </c>
      <c r="H124" s="512">
        <v>1056</v>
      </c>
      <c r="I124" s="513">
        <v>1048</v>
      </c>
      <c r="J124" s="514">
        <v>957</v>
      </c>
    </row>
    <row r="125" spans="1:10">
      <c r="A125" s="510"/>
      <c r="B125" s="528"/>
      <c r="C125" s="478" t="s">
        <v>281</v>
      </c>
      <c r="D125" s="477"/>
      <c r="E125" s="529"/>
      <c r="F125" s="662">
        <f t="shared" si="12"/>
        <v>1814</v>
      </c>
      <c r="G125" s="512">
        <v>609</v>
      </c>
      <c r="H125" s="512">
        <v>605</v>
      </c>
      <c r="I125" s="513">
        <v>600</v>
      </c>
      <c r="J125" s="514">
        <v>548</v>
      </c>
    </row>
    <row r="126" spans="1:10">
      <c r="A126" s="510"/>
      <c r="B126" s="528"/>
      <c r="C126" s="478" t="s">
        <v>282</v>
      </c>
      <c r="D126" s="477"/>
      <c r="E126" s="529"/>
      <c r="F126" s="662">
        <f t="shared" si="12"/>
        <v>750</v>
      </c>
      <c r="G126" s="512">
        <v>252</v>
      </c>
      <c r="H126" s="512">
        <v>250</v>
      </c>
      <c r="I126" s="513">
        <v>248</v>
      </c>
      <c r="J126" s="514">
        <v>227</v>
      </c>
    </row>
    <row r="127" spans="1:10">
      <c r="A127" s="510"/>
      <c r="B127" s="528"/>
      <c r="C127" s="474" t="s">
        <v>283</v>
      </c>
      <c r="D127" s="477"/>
      <c r="E127" s="529"/>
      <c r="F127" s="662">
        <f t="shared" si="12"/>
        <v>521</v>
      </c>
      <c r="G127" s="512">
        <v>175</v>
      </c>
      <c r="H127" s="512">
        <v>174</v>
      </c>
      <c r="I127" s="513">
        <v>172</v>
      </c>
      <c r="J127" s="514">
        <v>157</v>
      </c>
    </row>
    <row r="128" spans="1:10">
      <c r="A128" s="510"/>
      <c r="B128" s="528"/>
      <c r="C128" s="530" t="s">
        <v>41</v>
      </c>
      <c r="D128" s="531"/>
      <c r="E128" s="532"/>
      <c r="F128" s="667">
        <f>SUM(F119:F127)</f>
        <v>20850</v>
      </c>
      <c r="G128" s="668">
        <f>SUM(G119:G127)</f>
        <v>7005</v>
      </c>
      <c r="H128" s="668">
        <f>SUM(H119:H127)</f>
        <v>6950</v>
      </c>
      <c r="I128" s="669">
        <f>SUM(I119:I127)</f>
        <v>6895</v>
      </c>
      <c r="J128" s="670">
        <f>SUM(J119:J127)</f>
        <v>6293</v>
      </c>
    </row>
    <row r="129" spans="1:10">
      <c r="A129" s="510"/>
      <c r="B129" s="844" t="s">
        <v>189</v>
      </c>
      <c r="C129" s="845"/>
      <c r="D129" s="845"/>
      <c r="E129" s="846"/>
      <c r="F129" s="517"/>
      <c r="G129" s="518"/>
      <c r="H129" s="518"/>
      <c r="I129" s="519"/>
      <c r="J129" s="520"/>
    </row>
    <row r="130" spans="1:10">
      <c r="A130" s="510"/>
      <c r="B130" s="533"/>
      <c r="C130" s="522" t="s">
        <v>186</v>
      </c>
      <c r="D130" s="522"/>
      <c r="E130" s="523"/>
      <c r="F130" s="663" t="str">
        <f t="shared" ref="F130:J130" si="13">IF(AND(F$102&gt;0,F157&lt;&gt;""),F157/F$102,"")</f>
        <v/>
      </c>
      <c r="G130" s="664" t="str">
        <f t="shared" si="13"/>
        <v/>
      </c>
      <c r="H130" s="664" t="str">
        <f t="shared" si="13"/>
        <v/>
      </c>
      <c r="I130" s="665" t="str">
        <f t="shared" si="13"/>
        <v/>
      </c>
      <c r="J130" s="666" t="str">
        <f t="shared" si="13"/>
        <v/>
      </c>
    </row>
    <row r="131" spans="1:10">
      <c r="A131" s="510"/>
      <c r="B131" s="528"/>
      <c r="C131" s="522" t="s">
        <v>187</v>
      </c>
      <c r="D131" s="522"/>
      <c r="E131" s="523"/>
      <c r="F131" s="663" t="str">
        <f t="shared" ref="F131:J131" si="14">IF(AND(F$102&gt;0,F158&lt;&gt;""),F158/F$102,"")</f>
        <v/>
      </c>
      <c r="G131" s="664" t="str">
        <f t="shared" si="14"/>
        <v/>
      </c>
      <c r="H131" s="664" t="str">
        <f t="shared" si="14"/>
        <v/>
      </c>
      <c r="I131" s="665" t="str">
        <f t="shared" si="14"/>
        <v/>
      </c>
      <c r="J131" s="666" t="str">
        <f t="shared" si="14"/>
        <v/>
      </c>
    </row>
    <row r="132" spans="1:10">
      <c r="A132" s="510"/>
      <c r="B132" s="528"/>
      <c r="C132" s="522" t="s">
        <v>129</v>
      </c>
      <c r="D132" s="522"/>
      <c r="E132" s="523"/>
      <c r="F132" s="663" t="str">
        <f t="shared" ref="F132:J132" si="15">IF(AND(F$102&gt;0,F159&lt;&gt;""),F159/F$102,"")</f>
        <v/>
      </c>
      <c r="G132" s="664" t="str">
        <f t="shared" si="15"/>
        <v/>
      </c>
      <c r="H132" s="664" t="str">
        <f t="shared" si="15"/>
        <v/>
      </c>
      <c r="I132" s="665" t="str">
        <f t="shared" si="15"/>
        <v/>
      </c>
      <c r="J132" s="666" t="str">
        <f t="shared" si="15"/>
        <v/>
      </c>
    </row>
    <row r="133" spans="1:10">
      <c r="A133" s="510"/>
      <c r="B133" s="528"/>
      <c r="C133" s="522" t="s">
        <v>130</v>
      </c>
      <c r="D133" s="522"/>
      <c r="E133" s="523"/>
      <c r="F133" s="663" t="str">
        <f t="shared" ref="F133:J133" si="16">IF(AND(F$102&gt;0,F160&lt;&gt;""),F160/F$102,"")</f>
        <v/>
      </c>
      <c r="G133" s="664" t="str">
        <f t="shared" si="16"/>
        <v/>
      </c>
      <c r="H133" s="664" t="str">
        <f t="shared" si="16"/>
        <v/>
      </c>
      <c r="I133" s="665" t="str">
        <f t="shared" si="16"/>
        <v/>
      </c>
      <c r="J133" s="666" t="str">
        <f t="shared" si="16"/>
        <v/>
      </c>
    </row>
    <row r="134" spans="1:10">
      <c r="A134" s="510"/>
      <c r="B134" s="528"/>
      <c r="C134" s="522" t="s">
        <v>131</v>
      </c>
      <c r="D134" s="522"/>
      <c r="E134" s="523"/>
      <c r="F134" s="663" t="str">
        <f t="shared" ref="F134:J134" si="17">IF(AND(F$102&gt;0,F161&lt;&gt;""),F161/F$102,"")</f>
        <v/>
      </c>
      <c r="G134" s="664" t="str">
        <f t="shared" si="17"/>
        <v/>
      </c>
      <c r="H134" s="664" t="str">
        <f t="shared" si="17"/>
        <v/>
      </c>
      <c r="I134" s="665" t="str">
        <f t="shared" si="17"/>
        <v/>
      </c>
      <c r="J134" s="666" t="str">
        <f t="shared" si="17"/>
        <v/>
      </c>
    </row>
    <row r="135" spans="1:10">
      <c r="A135" s="510"/>
      <c r="B135" s="528"/>
      <c r="C135" s="442" t="s">
        <v>267</v>
      </c>
      <c r="D135" s="442"/>
      <c r="E135" s="524"/>
      <c r="F135" s="663" t="str">
        <f t="shared" ref="F135:J135" si="18">IF(AND(F$102&gt;0,F162&lt;&gt;""),F162/F$102,"")</f>
        <v/>
      </c>
      <c r="G135" s="664" t="str">
        <f t="shared" si="18"/>
        <v/>
      </c>
      <c r="H135" s="664" t="str">
        <f t="shared" si="18"/>
        <v/>
      </c>
      <c r="I135" s="665" t="str">
        <f t="shared" si="18"/>
        <v/>
      </c>
      <c r="J135" s="666" t="str">
        <f t="shared" si="18"/>
        <v/>
      </c>
    </row>
    <row r="136" spans="1:10">
      <c r="A136" s="510"/>
      <c r="B136" s="528"/>
      <c r="C136" s="522" t="s">
        <v>268</v>
      </c>
      <c r="D136" s="442"/>
      <c r="E136" s="524"/>
      <c r="F136" s="663" t="str">
        <f t="shared" ref="F136:J136" si="19">IF(AND(F$102&gt;0,F163&lt;&gt;""),F163/F$102,"")</f>
        <v/>
      </c>
      <c r="G136" s="664" t="str">
        <f t="shared" si="19"/>
        <v/>
      </c>
      <c r="H136" s="664" t="str">
        <f t="shared" si="19"/>
        <v/>
      </c>
      <c r="I136" s="665" t="str">
        <f t="shared" si="19"/>
        <v/>
      </c>
      <c r="J136" s="666" t="str">
        <f t="shared" si="19"/>
        <v/>
      </c>
    </row>
    <row r="137" spans="1:10">
      <c r="A137" s="510"/>
      <c r="B137" s="528"/>
      <c r="C137" s="522" t="s">
        <v>269</v>
      </c>
      <c r="D137" s="442"/>
      <c r="E137" s="524"/>
      <c r="F137" s="663" t="str">
        <f t="shared" ref="F137:J137" si="20">IF(AND(F$102&gt;0,F164&lt;&gt;""),F164/F$102,"")</f>
        <v/>
      </c>
      <c r="G137" s="664" t="str">
        <f t="shared" si="20"/>
        <v/>
      </c>
      <c r="H137" s="664" t="str">
        <f t="shared" si="20"/>
        <v/>
      </c>
      <c r="I137" s="665" t="str">
        <f t="shared" si="20"/>
        <v/>
      </c>
      <c r="J137" s="666" t="str">
        <f t="shared" si="20"/>
        <v/>
      </c>
    </row>
    <row r="138" spans="1:10">
      <c r="A138" s="510"/>
      <c r="B138" s="528"/>
      <c r="C138" s="442" t="s">
        <v>270</v>
      </c>
      <c r="D138" s="442"/>
      <c r="E138" s="524"/>
      <c r="F138" s="663" t="str">
        <f t="shared" ref="F138:J138" si="21">IF(AND(F$102&gt;0,F165&lt;&gt;""),F165/F$102,"")</f>
        <v/>
      </c>
      <c r="G138" s="664" t="str">
        <f t="shared" si="21"/>
        <v/>
      </c>
      <c r="H138" s="664" t="str">
        <f t="shared" si="21"/>
        <v/>
      </c>
      <c r="I138" s="665" t="str">
        <f t="shared" si="21"/>
        <v/>
      </c>
      <c r="J138" s="666" t="str">
        <f t="shared" si="21"/>
        <v/>
      </c>
    </row>
    <row r="139" spans="1:10">
      <c r="A139" s="510"/>
      <c r="B139" s="528"/>
      <c r="C139" s="522" t="s">
        <v>190</v>
      </c>
      <c r="D139" s="522"/>
      <c r="E139" s="523"/>
      <c r="F139" s="663" t="str">
        <f t="shared" ref="F139:J139" si="22">IF(AND(F$102&gt;0,F166&lt;&gt;""),F166/F$102,"")</f>
        <v/>
      </c>
      <c r="G139" s="664" t="str">
        <f t="shared" si="22"/>
        <v/>
      </c>
      <c r="H139" s="664" t="str">
        <f t="shared" si="22"/>
        <v/>
      </c>
      <c r="I139" s="665" t="str">
        <f t="shared" si="22"/>
        <v/>
      </c>
      <c r="J139" s="666" t="str">
        <f t="shared" si="22"/>
        <v/>
      </c>
    </row>
    <row r="140" spans="1:10">
      <c r="A140" s="510"/>
      <c r="B140" s="528"/>
      <c r="C140" s="522" t="s">
        <v>191</v>
      </c>
      <c r="D140" s="522"/>
      <c r="E140" s="523"/>
      <c r="F140" s="663" t="str">
        <f t="shared" ref="F140:J140" si="23">IF(AND(F$102&gt;0,F167&lt;&gt;""),F167/F$102,"")</f>
        <v/>
      </c>
      <c r="G140" s="664" t="str">
        <f t="shared" si="23"/>
        <v/>
      </c>
      <c r="H140" s="664" t="str">
        <f t="shared" si="23"/>
        <v/>
      </c>
      <c r="I140" s="665" t="str">
        <f t="shared" si="23"/>
        <v/>
      </c>
      <c r="J140" s="666" t="str">
        <f t="shared" si="23"/>
        <v/>
      </c>
    </row>
    <row r="141" spans="1:10">
      <c r="A141" s="510"/>
      <c r="B141" s="528"/>
      <c r="C141" s="522" t="s">
        <v>192</v>
      </c>
      <c r="D141" s="522"/>
      <c r="E141" s="523"/>
      <c r="F141" s="663" t="str">
        <f t="shared" ref="F141:J141" si="24">IF(AND(F$102&gt;0,F168&lt;&gt;""),F168/F$102,"")</f>
        <v/>
      </c>
      <c r="G141" s="664" t="str">
        <f t="shared" si="24"/>
        <v/>
      </c>
      <c r="H141" s="664" t="str">
        <f t="shared" si="24"/>
        <v/>
      </c>
      <c r="I141" s="665" t="str">
        <f t="shared" si="24"/>
        <v/>
      </c>
      <c r="J141" s="666" t="str">
        <f t="shared" si="24"/>
        <v/>
      </c>
    </row>
    <row r="142" spans="1:10">
      <c r="A142" s="510"/>
      <c r="B142" s="528"/>
      <c r="C142" s="522" t="s">
        <v>193</v>
      </c>
      <c r="D142" s="522"/>
      <c r="E142" s="523"/>
      <c r="F142" s="663" t="str">
        <f t="shared" ref="F142:J142" si="25">IF(AND(F$102&gt;0,F169&lt;&gt;""),F169/F$102,"")</f>
        <v/>
      </c>
      <c r="G142" s="664" t="str">
        <f t="shared" si="25"/>
        <v/>
      </c>
      <c r="H142" s="664" t="str">
        <f t="shared" si="25"/>
        <v/>
      </c>
      <c r="I142" s="665" t="str">
        <f t="shared" si="25"/>
        <v/>
      </c>
      <c r="J142" s="666" t="str">
        <f t="shared" si="25"/>
        <v/>
      </c>
    </row>
    <row r="143" spans="1:10">
      <c r="A143" s="510"/>
      <c r="B143" s="528"/>
      <c r="C143" s="522" t="s">
        <v>194</v>
      </c>
      <c r="D143" s="522"/>
      <c r="E143" s="523"/>
      <c r="F143" s="663" t="str">
        <f t="shared" ref="F143:J143" si="26">IF(AND(F$102&gt;0,F170&lt;&gt;""),F170/F$102,"")</f>
        <v/>
      </c>
      <c r="G143" s="664" t="str">
        <f t="shared" si="26"/>
        <v/>
      </c>
      <c r="H143" s="664" t="str">
        <f t="shared" si="26"/>
        <v/>
      </c>
      <c r="I143" s="665" t="str">
        <f t="shared" si="26"/>
        <v/>
      </c>
      <c r="J143" s="666" t="str">
        <f t="shared" si="26"/>
        <v/>
      </c>
    </row>
    <row r="144" spans="1:10">
      <c r="A144" s="510"/>
      <c r="B144" s="528"/>
      <c r="C144" s="522" t="s">
        <v>195</v>
      </c>
      <c r="D144" s="522"/>
      <c r="E144" s="523"/>
      <c r="F144" s="663" t="str">
        <f t="shared" ref="F144:J144" si="27">IF(AND(F$102&gt;0,F171&lt;&gt;""),F171/F$102,"")</f>
        <v/>
      </c>
      <c r="G144" s="664" t="str">
        <f t="shared" si="27"/>
        <v/>
      </c>
      <c r="H144" s="664" t="str">
        <f t="shared" si="27"/>
        <v/>
      </c>
      <c r="I144" s="665" t="str">
        <f t="shared" si="27"/>
        <v/>
      </c>
      <c r="J144" s="666" t="str">
        <f t="shared" si="27"/>
        <v/>
      </c>
    </row>
    <row r="145" spans="1:10">
      <c r="A145" s="510"/>
      <c r="B145" s="528"/>
      <c r="C145" s="522" t="s">
        <v>196</v>
      </c>
      <c r="D145" s="442"/>
      <c r="E145" s="524"/>
      <c r="F145" s="663" t="str">
        <f t="shared" ref="F145:J145" si="28">IF(AND(F$102&gt;0,F172&lt;&gt;""),F172/F$102,"")</f>
        <v/>
      </c>
      <c r="G145" s="664" t="str">
        <f t="shared" si="28"/>
        <v/>
      </c>
      <c r="H145" s="664" t="str">
        <f t="shared" si="28"/>
        <v/>
      </c>
      <c r="I145" s="665" t="str">
        <f t="shared" si="28"/>
        <v/>
      </c>
      <c r="J145" s="666" t="str">
        <f t="shared" si="28"/>
        <v/>
      </c>
    </row>
    <row r="146" spans="1:10">
      <c r="A146" s="510"/>
      <c r="B146" s="528"/>
      <c r="C146" s="522" t="s">
        <v>197</v>
      </c>
      <c r="D146" s="442"/>
      <c r="E146" s="524"/>
      <c r="F146" s="663" t="str">
        <f t="shared" ref="F146:J146" si="29">IF(AND(F$102&gt;0,F173&lt;&gt;""),F173/F$102,"")</f>
        <v/>
      </c>
      <c r="G146" s="664" t="str">
        <f t="shared" si="29"/>
        <v/>
      </c>
      <c r="H146" s="664" t="str">
        <f t="shared" si="29"/>
        <v/>
      </c>
      <c r="I146" s="665" t="str">
        <f t="shared" si="29"/>
        <v/>
      </c>
      <c r="J146" s="666" t="str">
        <f t="shared" si="29"/>
        <v/>
      </c>
    </row>
    <row r="147" spans="1:10">
      <c r="A147" s="510"/>
      <c r="B147" s="528"/>
      <c r="C147" s="522" t="s">
        <v>198</v>
      </c>
      <c r="D147" s="442"/>
      <c r="E147" s="524"/>
      <c r="F147" s="663" t="str">
        <f t="shared" ref="F147:J147" si="30">IF(AND(F$102&gt;0,F174&lt;&gt;""),F174/F$102,"")</f>
        <v/>
      </c>
      <c r="G147" s="664" t="str">
        <f t="shared" si="30"/>
        <v/>
      </c>
      <c r="H147" s="664" t="str">
        <f t="shared" si="30"/>
        <v/>
      </c>
      <c r="I147" s="665" t="str">
        <f t="shared" si="30"/>
        <v/>
      </c>
      <c r="J147" s="666" t="str">
        <f t="shared" si="30"/>
        <v/>
      </c>
    </row>
    <row r="148" spans="1:10">
      <c r="A148" s="510"/>
      <c r="B148" s="528"/>
      <c r="C148" s="522" t="s">
        <v>199</v>
      </c>
      <c r="D148" s="442"/>
      <c r="E148" s="524"/>
      <c r="F148" s="663" t="str">
        <f t="shared" ref="F148:J148" si="31">IF(AND(F$102&gt;0,F175&lt;&gt;""),F175/F$102,"")</f>
        <v/>
      </c>
      <c r="G148" s="664" t="str">
        <f t="shared" si="31"/>
        <v/>
      </c>
      <c r="H148" s="664" t="str">
        <f t="shared" si="31"/>
        <v/>
      </c>
      <c r="I148" s="665" t="str">
        <f t="shared" si="31"/>
        <v/>
      </c>
      <c r="J148" s="666" t="str">
        <f t="shared" si="31"/>
        <v/>
      </c>
    </row>
    <row r="149" spans="1:10">
      <c r="A149" s="510"/>
      <c r="B149" s="528"/>
      <c r="C149" s="522" t="s">
        <v>200</v>
      </c>
      <c r="D149" s="442"/>
      <c r="E149" s="524"/>
      <c r="F149" s="663" t="str">
        <f t="shared" ref="F149:J149" si="32">IF(AND(F$102&gt;0,F176&lt;&gt;""),F176/F$102,"")</f>
        <v/>
      </c>
      <c r="G149" s="664" t="str">
        <f t="shared" si="32"/>
        <v/>
      </c>
      <c r="H149" s="664" t="str">
        <f t="shared" si="32"/>
        <v/>
      </c>
      <c r="I149" s="665" t="str">
        <f t="shared" si="32"/>
        <v/>
      </c>
      <c r="J149" s="666" t="str">
        <f t="shared" si="32"/>
        <v/>
      </c>
    </row>
    <row r="150" spans="1:10">
      <c r="A150" s="510"/>
      <c r="B150" s="528"/>
      <c r="C150" s="522" t="s">
        <v>201</v>
      </c>
      <c r="D150" s="442"/>
      <c r="E150" s="524"/>
      <c r="F150" s="663" t="str">
        <f t="shared" ref="F150:J150" si="33">IF(AND(F$102&gt;0,F177&lt;&gt;""),F177/F$102,"")</f>
        <v/>
      </c>
      <c r="G150" s="664" t="str">
        <f t="shared" si="33"/>
        <v/>
      </c>
      <c r="H150" s="664" t="str">
        <f t="shared" si="33"/>
        <v/>
      </c>
      <c r="I150" s="665" t="str">
        <f t="shared" si="33"/>
        <v/>
      </c>
      <c r="J150" s="666" t="str">
        <f t="shared" si="33"/>
        <v/>
      </c>
    </row>
    <row r="151" spans="1:10">
      <c r="A151" s="510"/>
      <c r="B151" s="528"/>
      <c r="C151" s="522" t="s">
        <v>202</v>
      </c>
      <c r="D151" s="442"/>
      <c r="E151" s="524"/>
      <c r="F151" s="663" t="str">
        <f t="shared" ref="F151:J151" si="34">IF(AND(F$102&gt;0,F178&lt;&gt;""),F178/F$102,"")</f>
        <v/>
      </c>
      <c r="G151" s="664" t="str">
        <f t="shared" si="34"/>
        <v/>
      </c>
      <c r="H151" s="664" t="str">
        <f t="shared" si="34"/>
        <v/>
      </c>
      <c r="I151" s="665" t="str">
        <f t="shared" si="34"/>
        <v/>
      </c>
      <c r="J151" s="666" t="str">
        <f t="shared" si="34"/>
        <v/>
      </c>
    </row>
    <row r="152" spans="1:10">
      <c r="A152" s="510"/>
      <c r="B152" s="528"/>
      <c r="C152" s="522" t="s">
        <v>203</v>
      </c>
      <c r="D152" s="442"/>
      <c r="E152" s="524"/>
      <c r="F152" s="663" t="str">
        <f t="shared" ref="F152:J152" si="35">IF(AND(F$102&gt;0,F179&lt;&gt;""),F179/F$102,"")</f>
        <v/>
      </c>
      <c r="G152" s="664" t="str">
        <f t="shared" si="35"/>
        <v/>
      </c>
      <c r="H152" s="664" t="str">
        <f t="shared" si="35"/>
        <v/>
      </c>
      <c r="I152" s="665" t="str">
        <f t="shared" si="35"/>
        <v/>
      </c>
      <c r="J152" s="666" t="str">
        <f t="shared" si="35"/>
        <v/>
      </c>
    </row>
    <row r="153" spans="1:10">
      <c r="A153" s="510"/>
      <c r="B153" s="528"/>
      <c r="C153" s="522" t="s">
        <v>204</v>
      </c>
      <c r="D153" s="442"/>
      <c r="E153" s="524"/>
      <c r="F153" s="663" t="str">
        <f t="shared" ref="F153:J153" si="36">IF(AND(F$102&gt;0,F180&lt;&gt;""),F180/F$102,"")</f>
        <v/>
      </c>
      <c r="G153" s="664" t="str">
        <f t="shared" si="36"/>
        <v/>
      </c>
      <c r="H153" s="664" t="str">
        <f t="shared" si="36"/>
        <v/>
      </c>
      <c r="I153" s="665" t="str">
        <f t="shared" si="36"/>
        <v/>
      </c>
      <c r="J153" s="666" t="str">
        <f t="shared" si="36"/>
        <v/>
      </c>
    </row>
    <row r="154" spans="1:10">
      <c r="A154" s="510"/>
      <c r="B154" s="528"/>
      <c r="C154" s="522" t="s">
        <v>205</v>
      </c>
      <c r="D154" s="442"/>
      <c r="E154" s="524"/>
      <c r="F154" s="663" t="str">
        <f t="shared" ref="F154:J154" si="37">IF(AND(F$102&gt;0,F181&lt;&gt;""),F181/F$102,"")</f>
        <v/>
      </c>
      <c r="G154" s="664" t="str">
        <f t="shared" si="37"/>
        <v/>
      </c>
      <c r="H154" s="664" t="str">
        <f t="shared" si="37"/>
        <v/>
      </c>
      <c r="I154" s="665" t="str">
        <f t="shared" si="37"/>
        <v/>
      </c>
      <c r="J154" s="666" t="str">
        <f t="shared" si="37"/>
        <v/>
      </c>
    </row>
    <row r="155" spans="1:10">
      <c r="A155" s="510"/>
      <c r="B155" s="534"/>
      <c r="C155" s="522" t="s">
        <v>41</v>
      </c>
      <c r="D155" s="522"/>
      <c r="E155" s="523"/>
      <c r="F155" s="663">
        <f t="shared" ref="F155:J155" si="38">IF(AND(F$102&gt;0,F182&lt;&gt;""),F182/F$102,"")</f>
        <v>0</v>
      </c>
      <c r="G155" s="664">
        <f>IF(AND(G$102&gt;0,G182&lt;&gt;""),G182/G$102,"")</f>
        <v>0</v>
      </c>
      <c r="H155" s="664">
        <f t="shared" si="38"/>
        <v>0</v>
      </c>
      <c r="I155" s="665">
        <f t="shared" si="38"/>
        <v>0</v>
      </c>
      <c r="J155" s="666">
        <f t="shared" si="38"/>
        <v>0</v>
      </c>
    </row>
    <row r="156" spans="1:10">
      <c r="A156" s="510"/>
      <c r="B156" s="847" t="s">
        <v>206</v>
      </c>
      <c r="C156" s="848"/>
      <c r="D156" s="848"/>
      <c r="E156" s="849"/>
      <c r="F156" s="517"/>
      <c r="G156" s="518"/>
      <c r="H156" s="518"/>
      <c r="I156" s="519"/>
      <c r="J156" s="520"/>
    </row>
    <row r="157" spans="1:10">
      <c r="A157" s="510"/>
      <c r="B157" s="521"/>
      <c r="C157" s="478" t="s">
        <v>186</v>
      </c>
      <c r="D157" s="480"/>
      <c r="E157" s="511"/>
      <c r="F157" s="662" t="str">
        <f t="shared" ref="F157:F169" si="39">IF(SUM(G157:I157)=0,"",SUM(G157:I157))</f>
        <v/>
      </c>
      <c r="G157" s="512"/>
      <c r="H157" s="512"/>
      <c r="I157" s="513"/>
      <c r="J157" s="514"/>
    </row>
    <row r="158" spans="1:10">
      <c r="A158" s="510"/>
      <c r="B158" s="521"/>
      <c r="C158" s="478" t="s">
        <v>187</v>
      </c>
      <c r="D158" s="480"/>
      <c r="E158" s="511"/>
      <c r="F158" s="662" t="str">
        <f t="shared" si="39"/>
        <v/>
      </c>
      <c r="G158" s="512"/>
      <c r="H158" s="512"/>
      <c r="I158" s="513"/>
      <c r="J158" s="514"/>
    </row>
    <row r="159" spans="1:10">
      <c r="A159" s="510"/>
      <c r="B159" s="521"/>
      <c r="C159" s="478" t="s">
        <v>129</v>
      </c>
      <c r="D159" s="480"/>
      <c r="E159" s="511"/>
      <c r="F159" s="662" t="str">
        <f t="shared" si="39"/>
        <v/>
      </c>
      <c r="G159" s="512"/>
      <c r="H159" s="512"/>
      <c r="I159" s="513"/>
      <c r="J159" s="514"/>
    </row>
    <row r="160" spans="1:10">
      <c r="A160" s="510"/>
      <c r="B160" s="521"/>
      <c r="C160" s="478" t="s">
        <v>130</v>
      </c>
      <c r="D160" s="480"/>
      <c r="E160" s="511"/>
      <c r="F160" s="662" t="str">
        <f t="shared" si="39"/>
        <v/>
      </c>
      <c r="G160" s="512"/>
      <c r="H160" s="512"/>
      <c r="I160" s="513"/>
      <c r="J160" s="514"/>
    </row>
    <row r="161" spans="1:10">
      <c r="A161" s="510"/>
      <c r="B161" s="521"/>
      <c r="C161" s="478" t="s">
        <v>131</v>
      </c>
      <c r="D161" s="480"/>
      <c r="E161" s="511"/>
      <c r="F161" s="662" t="str">
        <f t="shared" si="39"/>
        <v/>
      </c>
      <c r="G161" s="512"/>
      <c r="H161" s="512"/>
      <c r="I161" s="513"/>
      <c r="J161" s="514"/>
    </row>
    <row r="162" spans="1:10">
      <c r="A162" s="510"/>
      <c r="B162" s="521"/>
      <c r="C162" s="474" t="s">
        <v>267</v>
      </c>
      <c r="D162" s="477"/>
      <c r="E162" s="529"/>
      <c r="F162" s="662" t="str">
        <f t="shared" si="39"/>
        <v/>
      </c>
      <c r="G162" s="512"/>
      <c r="H162" s="512"/>
      <c r="I162" s="513"/>
      <c r="J162" s="514"/>
    </row>
    <row r="163" spans="1:10">
      <c r="A163" s="510"/>
      <c r="B163" s="521"/>
      <c r="C163" s="478" t="s">
        <v>268</v>
      </c>
      <c r="D163" s="477"/>
      <c r="E163" s="529"/>
      <c r="F163" s="662" t="str">
        <f t="shared" si="39"/>
        <v/>
      </c>
      <c r="G163" s="512"/>
      <c r="H163" s="512"/>
      <c r="I163" s="513"/>
      <c r="J163" s="514"/>
    </row>
    <row r="164" spans="1:10">
      <c r="A164" s="510"/>
      <c r="B164" s="521"/>
      <c r="C164" s="478" t="s">
        <v>269</v>
      </c>
      <c r="D164" s="477"/>
      <c r="E164" s="529"/>
      <c r="F164" s="662" t="str">
        <f t="shared" si="39"/>
        <v/>
      </c>
      <c r="G164" s="512"/>
      <c r="H164" s="512"/>
      <c r="I164" s="513"/>
      <c r="J164" s="514"/>
    </row>
    <row r="165" spans="1:10">
      <c r="A165" s="510"/>
      <c r="B165" s="521"/>
      <c r="C165" s="474" t="s">
        <v>270</v>
      </c>
      <c r="D165" s="477"/>
      <c r="E165" s="529"/>
      <c r="F165" s="662" t="str">
        <f t="shared" si="39"/>
        <v/>
      </c>
      <c r="G165" s="512"/>
      <c r="H165" s="512"/>
      <c r="I165" s="513"/>
      <c r="J165" s="514"/>
    </row>
    <row r="166" spans="1:10">
      <c r="A166" s="510"/>
      <c r="B166" s="521"/>
      <c r="C166" s="478" t="s">
        <v>190</v>
      </c>
      <c r="D166" s="480"/>
      <c r="E166" s="511"/>
      <c r="F166" s="662" t="str">
        <f t="shared" si="39"/>
        <v/>
      </c>
      <c r="G166" s="512"/>
      <c r="H166" s="512"/>
      <c r="I166" s="513"/>
      <c r="J166" s="514"/>
    </row>
    <row r="167" spans="1:10">
      <c r="A167" s="510"/>
      <c r="B167" s="521"/>
      <c r="C167" s="478" t="s">
        <v>191</v>
      </c>
      <c r="D167" s="480"/>
      <c r="E167" s="511"/>
      <c r="F167" s="662" t="str">
        <f t="shared" si="39"/>
        <v/>
      </c>
      <c r="G167" s="512"/>
      <c r="H167" s="512"/>
      <c r="I167" s="513"/>
      <c r="J167" s="514"/>
    </row>
    <row r="168" spans="1:10">
      <c r="A168" s="510"/>
      <c r="B168" s="521"/>
      <c r="C168" s="478" t="s">
        <v>192</v>
      </c>
      <c r="D168" s="480"/>
      <c r="E168" s="511"/>
      <c r="F168" s="662" t="str">
        <f t="shared" si="39"/>
        <v/>
      </c>
      <c r="G168" s="512"/>
      <c r="H168" s="512"/>
      <c r="I168" s="513"/>
      <c r="J168" s="514"/>
    </row>
    <row r="169" spans="1:10">
      <c r="A169" s="510"/>
      <c r="B169" s="521"/>
      <c r="C169" s="478" t="s">
        <v>193</v>
      </c>
      <c r="D169" s="480"/>
      <c r="E169" s="511"/>
      <c r="F169" s="662" t="str">
        <f t="shared" si="39"/>
        <v/>
      </c>
      <c r="G169" s="512"/>
      <c r="H169" s="512"/>
      <c r="I169" s="513"/>
      <c r="J169" s="514"/>
    </row>
    <row r="170" spans="1:10">
      <c r="A170" s="510"/>
      <c r="B170" s="521"/>
      <c r="C170" s="478" t="s">
        <v>194</v>
      </c>
      <c r="D170" s="480"/>
      <c r="E170" s="511"/>
      <c r="F170" s="662" t="str">
        <f>IF(SUM(G170:I170)=0,"",SUM(G170:I170))</f>
        <v/>
      </c>
      <c r="G170" s="512"/>
      <c r="H170" s="512"/>
      <c r="I170" s="513"/>
      <c r="J170" s="514"/>
    </row>
    <row r="171" spans="1:10">
      <c r="A171" s="510"/>
      <c r="B171" s="521"/>
      <c r="C171" s="478" t="s">
        <v>195</v>
      </c>
      <c r="D171" s="480"/>
      <c r="E171" s="511"/>
      <c r="F171" s="662" t="str">
        <f t="shared" ref="F171:F178" si="40">IF(SUM(G171:I171)=0,"",SUM(G171:I171))</f>
        <v/>
      </c>
      <c r="G171" s="512"/>
      <c r="H171" s="512"/>
      <c r="I171" s="513"/>
      <c r="J171" s="514"/>
    </row>
    <row r="172" spans="1:10">
      <c r="A172" s="510"/>
      <c r="B172" s="521"/>
      <c r="C172" s="478" t="s">
        <v>196</v>
      </c>
      <c r="D172" s="477"/>
      <c r="E172" s="529"/>
      <c r="F172" s="662" t="str">
        <f t="shared" si="40"/>
        <v/>
      </c>
      <c r="G172" s="512"/>
      <c r="H172" s="512"/>
      <c r="I172" s="513"/>
      <c r="J172" s="514"/>
    </row>
    <row r="173" spans="1:10">
      <c r="A173" s="510"/>
      <c r="B173" s="521"/>
      <c r="C173" s="478" t="s">
        <v>197</v>
      </c>
      <c r="D173" s="477"/>
      <c r="E173" s="529"/>
      <c r="F173" s="662" t="str">
        <f t="shared" si="40"/>
        <v/>
      </c>
      <c r="G173" s="512"/>
      <c r="H173" s="512"/>
      <c r="I173" s="513"/>
      <c r="J173" s="514"/>
    </row>
    <row r="174" spans="1:10">
      <c r="A174" s="510"/>
      <c r="B174" s="521"/>
      <c r="C174" s="478" t="s">
        <v>198</v>
      </c>
      <c r="D174" s="477"/>
      <c r="E174" s="529"/>
      <c r="F174" s="662" t="str">
        <f t="shared" si="40"/>
        <v/>
      </c>
      <c r="G174" s="512"/>
      <c r="H174" s="512"/>
      <c r="I174" s="513"/>
      <c r="J174" s="514"/>
    </row>
    <row r="175" spans="1:10">
      <c r="A175" s="510"/>
      <c r="B175" s="521"/>
      <c r="C175" s="535" t="s">
        <v>199</v>
      </c>
      <c r="D175" s="536"/>
      <c r="E175" s="537"/>
      <c r="F175" s="667" t="str">
        <f t="shared" si="40"/>
        <v/>
      </c>
      <c r="G175" s="512"/>
      <c r="H175" s="512"/>
      <c r="I175" s="513"/>
      <c r="J175" s="538"/>
    </row>
    <row r="176" spans="1:10">
      <c r="A176" s="510"/>
      <c r="B176" s="521"/>
      <c r="C176" s="535" t="s">
        <v>200</v>
      </c>
      <c r="D176" s="536"/>
      <c r="E176" s="537"/>
      <c r="F176" s="667" t="str">
        <f t="shared" si="40"/>
        <v/>
      </c>
      <c r="G176" s="512"/>
      <c r="H176" s="512"/>
      <c r="I176" s="513"/>
      <c r="J176" s="538"/>
    </row>
    <row r="177" spans="1:10">
      <c r="A177" s="510"/>
      <c r="B177" s="521"/>
      <c r="C177" s="535" t="s">
        <v>201</v>
      </c>
      <c r="D177" s="480"/>
      <c r="E177" s="511"/>
      <c r="F177" s="662" t="str">
        <f t="shared" si="40"/>
        <v/>
      </c>
      <c r="G177" s="512"/>
      <c r="H177" s="512"/>
      <c r="I177" s="513"/>
      <c r="J177" s="514"/>
    </row>
    <row r="178" spans="1:10">
      <c r="A178" s="510"/>
      <c r="B178" s="521"/>
      <c r="C178" s="535" t="s">
        <v>202</v>
      </c>
      <c r="D178" s="477"/>
      <c r="E178" s="529"/>
      <c r="F178" s="662" t="str">
        <f t="shared" si="40"/>
        <v/>
      </c>
      <c r="G178" s="512"/>
      <c r="H178" s="512"/>
      <c r="I178" s="513"/>
      <c r="J178" s="514"/>
    </row>
    <row r="179" spans="1:10">
      <c r="A179" s="510"/>
      <c r="B179" s="521"/>
      <c r="C179" s="535" t="s">
        <v>203</v>
      </c>
      <c r="D179" s="536"/>
      <c r="E179" s="537"/>
      <c r="F179" s="667" t="str">
        <f>IF(SUM(G179:I179)=0,"",SUM(G179:I179))</f>
        <v/>
      </c>
      <c r="G179" s="512"/>
      <c r="H179" s="512"/>
      <c r="I179" s="513"/>
      <c r="J179" s="538"/>
    </row>
    <row r="180" spans="1:10">
      <c r="A180" s="510"/>
      <c r="B180" s="521"/>
      <c r="C180" s="535" t="s">
        <v>204</v>
      </c>
      <c r="D180" s="480"/>
      <c r="E180" s="511"/>
      <c r="F180" s="662" t="str">
        <f>IF(SUM(G180:I180)=0,"",SUM(G180:I180))</f>
        <v/>
      </c>
      <c r="G180" s="512"/>
      <c r="H180" s="512"/>
      <c r="I180" s="513"/>
      <c r="J180" s="514"/>
    </row>
    <row r="181" spans="1:10">
      <c r="A181" s="510"/>
      <c r="B181" s="521"/>
      <c r="C181" s="535" t="s">
        <v>205</v>
      </c>
      <c r="D181" s="477"/>
      <c r="E181" s="529"/>
      <c r="F181" s="662" t="str">
        <f>IF(SUM(G181:I181)=0,"",SUM(G181:I181))</f>
        <v/>
      </c>
      <c r="G181" s="512"/>
      <c r="H181" s="512"/>
      <c r="I181" s="513"/>
      <c r="J181" s="514"/>
    </row>
    <row r="182" spans="1:10">
      <c r="A182" s="510"/>
      <c r="B182" s="521"/>
      <c r="C182" s="530" t="s">
        <v>41</v>
      </c>
      <c r="D182" s="531"/>
      <c r="E182" s="532"/>
      <c r="F182" s="667">
        <f>SUM(F157:F181)</f>
        <v>0</v>
      </c>
      <c r="G182" s="668">
        <f>SUM(G157:G181)</f>
        <v>0</v>
      </c>
      <c r="H182" s="668">
        <f>SUM(H157:H181)</f>
        <v>0</v>
      </c>
      <c r="I182" s="669">
        <f>SUM(I157:I181)</f>
        <v>0</v>
      </c>
      <c r="J182" s="670">
        <f>SUM(J157:J181)</f>
        <v>0</v>
      </c>
    </row>
    <row r="183" spans="1:10">
      <c r="A183" s="510"/>
      <c r="B183" s="844" t="s">
        <v>207</v>
      </c>
      <c r="C183" s="845"/>
      <c r="D183" s="845"/>
      <c r="E183" s="845"/>
      <c r="F183" s="662">
        <f>SUM(G183:I183)</f>
        <v>19667.799999999996</v>
      </c>
      <c r="G183" s="633">
        <f>SUMPRODUCT(G119:G127,G238:G246)</f>
        <v>6607.65</v>
      </c>
      <c r="H183" s="633">
        <f>SUMPRODUCT(H119:H127,H238:H246)</f>
        <v>6556.2</v>
      </c>
      <c r="I183" s="671">
        <f>SUMPRODUCT(I119:I127,I238:I246)</f>
        <v>6503.9499999999989</v>
      </c>
      <c r="J183" s="636">
        <f>SUMPRODUCT(J119:J127,J238:J246)</f>
        <v>5937.1499999999987</v>
      </c>
    </row>
    <row r="184" spans="1:10" ht="14.25" thickBot="1">
      <c r="A184" s="539"/>
      <c r="B184" s="850" t="s">
        <v>208</v>
      </c>
      <c r="C184" s="851"/>
      <c r="D184" s="851"/>
      <c r="E184" s="851"/>
      <c r="F184" s="672">
        <f>SUM(G184:I184)</f>
        <v>0</v>
      </c>
      <c r="G184" s="673">
        <f>SUMPRODUCT(G157:G181,G190:G214)</f>
        <v>0</v>
      </c>
      <c r="H184" s="673">
        <f>SUMPRODUCT(H157:H181,H190:H214)</f>
        <v>0</v>
      </c>
      <c r="I184" s="674">
        <f>SUMPRODUCT(I157:I181,I190:I214)</f>
        <v>0</v>
      </c>
      <c r="J184" s="675">
        <f>SUMPRODUCT(J157:J181,J190:J214)</f>
        <v>0</v>
      </c>
    </row>
    <row r="186" spans="1:10" ht="14.25" thickBot="1">
      <c r="A186" s="407" t="s">
        <v>209</v>
      </c>
      <c r="B186" s="411"/>
      <c r="C186" s="411"/>
      <c r="D186" s="411"/>
      <c r="E186" s="411"/>
      <c r="F186" s="411"/>
      <c r="G186" s="411"/>
      <c r="H186" s="411"/>
      <c r="I186" s="411"/>
      <c r="J186" s="411"/>
    </row>
    <row r="187" spans="1:10">
      <c r="A187" s="455"/>
      <c r="B187" s="456"/>
      <c r="C187" s="456"/>
      <c r="D187" s="456"/>
      <c r="E187" s="456"/>
      <c r="F187" s="852" t="s">
        <v>284</v>
      </c>
      <c r="G187" s="853"/>
      <c r="H187" s="853"/>
      <c r="I187" s="854"/>
      <c r="J187" s="837" t="s">
        <v>285</v>
      </c>
    </row>
    <row r="188" spans="1:10" ht="14.25" thickBot="1">
      <c r="A188" s="457"/>
      <c r="B188" s="406"/>
      <c r="C188" s="406"/>
      <c r="D188" s="406"/>
      <c r="E188" s="406"/>
      <c r="F188" s="458"/>
      <c r="G188" s="459" t="s">
        <v>286</v>
      </c>
      <c r="H188" s="460" t="s">
        <v>287</v>
      </c>
      <c r="I188" s="461" t="s">
        <v>288</v>
      </c>
      <c r="J188" s="838"/>
    </row>
    <row r="189" spans="1:10">
      <c r="A189" s="541" t="s">
        <v>210</v>
      </c>
      <c r="B189" s="542"/>
      <c r="C189" s="542"/>
      <c r="D189" s="542"/>
      <c r="E189" s="542"/>
      <c r="F189" s="543"/>
      <c r="G189" s="676">
        <f>COUNT(G190:G214)</f>
        <v>0</v>
      </c>
      <c r="H189" s="676">
        <f>COUNT(H190:H214)</f>
        <v>0</v>
      </c>
      <c r="I189" s="677">
        <f>COUNT(I190:I214)</f>
        <v>0</v>
      </c>
      <c r="J189" s="678">
        <f>COUNT(J190:J214)</f>
        <v>0</v>
      </c>
    </row>
    <row r="190" spans="1:10">
      <c r="A190" s="417" t="s">
        <v>211</v>
      </c>
      <c r="B190" s="486"/>
      <c r="C190" s="406"/>
      <c r="D190" s="424" t="s">
        <v>212</v>
      </c>
      <c r="E190" s="419"/>
      <c r="F190" s="544"/>
      <c r="G190" s="749"/>
      <c r="H190" s="749"/>
      <c r="I190" s="750"/>
      <c r="J190" s="751"/>
    </row>
    <row r="191" spans="1:10">
      <c r="A191" s="457"/>
      <c r="B191" s="406"/>
      <c r="C191" s="406"/>
      <c r="D191" s="424" t="s">
        <v>213</v>
      </c>
      <c r="E191" s="419"/>
      <c r="F191" s="544"/>
      <c r="G191" s="749"/>
      <c r="H191" s="749"/>
      <c r="I191" s="750"/>
      <c r="J191" s="751"/>
    </row>
    <row r="192" spans="1:10">
      <c r="A192" s="457"/>
      <c r="B192" s="406"/>
      <c r="C192" s="545"/>
      <c r="D192" s="424" t="s">
        <v>214</v>
      </c>
      <c r="E192" s="419"/>
      <c r="F192" s="544"/>
      <c r="G192" s="749"/>
      <c r="H192" s="749"/>
      <c r="I192" s="750"/>
      <c r="J192" s="751"/>
    </row>
    <row r="193" spans="1:10">
      <c r="A193" s="457"/>
      <c r="B193" s="406"/>
      <c r="C193" s="545"/>
      <c r="D193" s="684" t="s">
        <v>215</v>
      </c>
      <c r="E193" s="685"/>
      <c r="F193" s="544"/>
      <c r="G193" s="752"/>
      <c r="H193" s="752"/>
      <c r="I193" s="753"/>
      <c r="J193" s="754"/>
    </row>
    <row r="194" spans="1:10">
      <c r="A194" s="457"/>
      <c r="B194" s="406"/>
      <c r="C194" s="545"/>
      <c r="D194" s="684" t="s">
        <v>216</v>
      </c>
      <c r="E194" s="685"/>
      <c r="F194" s="544"/>
      <c r="G194" s="752"/>
      <c r="H194" s="752"/>
      <c r="I194" s="753"/>
      <c r="J194" s="754"/>
    </row>
    <row r="195" spans="1:10">
      <c r="A195" s="457"/>
      <c r="B195" s="406"/>
      <c r="C195" s="545"/>
      <c r="D195" s="424" t="s">
        <v>217</v>
      </c>
      <c r="E195" s="419"/>
      <c r="F195" s="544"/>
      <c r="G195" s="749"/>
      <c r="H195" s="749"/>
      <c r="I195" s="750"/>
      <c r="J195" s="751"/>
    </row>
    <row r="196" spans="1:10">
      <c r="A196" s="457"/>
      <c r="B196" s="406"/>
      <c r="C196" s="545"/>
      <c r="D196" s="424" t="s">
        <v>218</v>
      </c>
      <c r="E196" s="419"/>
      <c r="F196" s="544"/>
      <c r="G196" s="749"/>
      <c r="H196" s="749"/>
      <c r="I196" s="750"/>
      <c r="J196" s="751"/>
    </row>
    <row r="197" spans="1:10">
      <c r="A197" s="457"/>
      <c r="B197" s="406"/>
      <c r="C197" s="545"/>
      <c r="D197" s="424" t="s">
        <v>219</v>
      </c>
      <c r="E197" s="419"/>
      <c r="F197" s="544"/>
      <c r="G197" s="749"/>
      <c r="H197" s="749"/>
      <c r="I197" s="750"/>
      <c r="J197" s="751"/>
    </row>
    <row r="198" spans="1:10">
      <c r="A198" s="457"/>
      <c r="B198" s="406"/>
      <c r="C198" s="545"/>
      <c r="D198" s="424" t="s">
        <v>220</v>
      </c>
      <c r="E198" s="419"/>
      <c r="F198" s="544"/>
      <c r="G198" s="749"/>
      <c r="H198" s="749"/>
      <c r="I198" s="750"/>
      <c r="J198" s="751"/>
    </row>
    <row r="199" spans="1:10">
      <c r="A199" s="457"/>
      <c r="B199" s="406"/>
      <c r="C199" s="545"/>
      <c r="D199" s="424" t="s">
        <v>190</v>
      </c>
      <c r="E199" s="419"/>
      <c r="F199" s="544"/>
      <c r="G199" s="749"/>
      <c r="H199" s="749"/>
      <c r="I199" s="750"/>
      <c r="J199" s="751"/>
    </row>
    <row r="200" spans="1:10">
      <c r="A200" s="457"/>
      <c r="B200" s="406"/>
      <c r="C200" s="545"/>
      <c r="D200" s="424" t="s">
        <v>191</v>
      </c>
      <c r="E200" s="419"/>
      <c r="F200" s="544"/>
      <c r="G200" s="749"/>
      <c r="H200" s="749"/>
      <c r="I200" s="750"/>
      <c r="J200" s="751"/>
    </row>
    <row r="201" spans="1:10">
      <c r="A201" s="457"/>
      <c r="B201" s="406"/>
      <c r="C201" s="545"/>
      <c r="D201" s="424" t="s">
        <v>192</v>
      </c>
      <c r="E201" s="419"/>
      <c r="F201" s="544"/>
      <c r="G201" s="749"/>
      <c r="H201" s="749"/>
      <c r="I201" s="750"/>
      <c r="J201" s="751"/>
    </row>
    <row r="202" spans="1:10">
      <c r="A202" s="457"/>
      <c r="B202" s="406"/>
      <c r="C202" s="545"/>
      <c r="D202" s="424" t="s">
        <v>193</v>
      </c>
      <c r="E202" s="419"/>
      <c r="F202" s="544"/>
      <c r="G202" s="749"/>
      <c r="H202" s="749"/>
      <c r="I202" s="750"/>
      <c r="J202" s="751"/>
    </row>
    <row r="203" spans="1:10">
      <c r="A203" s="457"/>
      <c r="B203" s="406"/>
      <c r="C203" s="545"/>
      <c r="D203" s="424" t="s">
        <v>194</v>
      </c>
      <c r="E203" s="419"/>
      <c r="F203" s="544"/>
      <c r="G203" s="749"/>
      <c r="H203" s="749"/>
      <c r="I203" s="750"/>
      <c r="J203" s="751"/>
    </row>
    <row r="204" spans="1:10">
      <c r="A204" s="457"/>
      <c r="B204" s="406"/>
      <c r="C204" s="545"/>
      <c r="D204" s="424" t="s">
        <v>195</v>
      </c>
      <c r="E204" s="419"/>
      <c r="F204" s="544"/>
      <c r="G204" s="749"/>
      <c r="H204" s="749"/>
      <c r="I204" s="750"/>
      <c r="J204" s="751"/>
    </row>
    <row r="205" spans="1:10">
      <c r="A205" s="457"/>
      <c r="B205" s="406"/>
      <c r="C205" s="545"/>
      <c r="D205" s="424" t="s">
        <v>196</v>
      </c>
      <c r="E205" s="419"/>
      <c r="F205" s="544"/>
      <c r="G205" s="749"/>
      <c r="H205" s="749"/>
      <c r="I205" s="750"/>
      <c r="J205" s="751"/>
    </row>
    <row r="206" spans="1:10">
      <c r="A206" s="457"/>
      <c r="B206" s="406"/>
      <c r="C206" s="545"/>
      <c r="D206" s="424" t="s">
        <v>197</v>
      </c>
      <c r="E206" s="419"/>
      <c r="F206" s="544"/>
      <c r="G206" s="749"/>
      <c r="H206" s="749"/>
      <c r="I206" s="750"/>
      <c r="J206" s="751"/>
    </row>
    <row r="207" spans="1:10">
      <c r="A207" s="457"/>
      <c r="B207" s="406"/>
      <c r="C207" s="545"/>
      <c r="D207" s="424" t="s">
        <v>198</v>
      </c>
      <c r="E207" s="419"/>
      <c r="F207" s="544"/>
      <c r="G207" s="749"/>
      <c r="H207" s="749"/>
      <c r="I207" s="750"/>
      <c r="J207" s="751"/>
    </row>
    <row r="208" spans="1:10">
      <c r="A208" s="457"/>
      <c r="B208" s="406"/>
      <c r="C208" s="545"/>
      <c r="D208" s="424" t="s">
        <v>199</v>
      </c>
      <c r="E208" s="419"/>
      <c r="F208" s="544"/>
      <c r="G208" s="749"/>
      <c r="H208" s="749"/>
      <c r="I208" s="750"/>
      <c r="J208" s="751"/>
    </row>
    <row r="209" spans="1:10">
      <c r="A209" s="457"/>
      <c r="B209" s="406"/>
      <c r="C209" s="406"/>
      <c r="D209" s="424" t="s">
        <v>200</v>
      </c>
      <c r="E209" s="419"/>
      <c r="F209" s="544"/>
      <c r="G209" s="749"/>
      <c r="H209" s="749"/>
      <c r="I209" s="750"/>
      <c r="J209" s="751"/>
    </row>
    <row r="210" spans="1:10">
      <c r="A210" s="457"/>
      <c r="B210" s="406"/>
      <c r="C210" s="545"/>
      <c r="D210" s="424" t="s">
        <v>201</v>
      </c>
      <c r="E210" s="419"/>
      <c r="F210" s="544"/>
      <c r="G210" s="749"/>
      <c r="H210" s="749"/>
      <c r="I210" s="750"/>
      <c r="J210" s="751"/>
    </row>
    <row r="211" spans="1:10">
      <c r="A211" s="457"/>
      <c r="B211" s="406"/>
      <c r="C211" s="545"/>
      <c r="D211" s="424" t="s">
        <v>202</v>
      </c>
      <c r="E211" s="419"/>
      <c r="F211" s="544"/>
      <c r="G211" s="749"/>
      <c r="H211" s="749"/>
      <c r="I211" s="750"/>
      <c r="J211" s="751"/>
    </row>
    <row r="212" spans="1:10">
      <c r="A212" s="457"/>
      <c r="B212" s="406"/>
      <c r="C212" s="406"/>
      <c r="D212" s="424" t="s">
        <v>203</v>
      </c>
      <c r="E212" s="419"/>
      <c r="F212" s="544"/>
      <c r="G212" s="749"/>
      <c r="H212" s="749"/>
      <c r="I212" s="750"/>
      <c r="J212" s="751"/>
    </row>
    <row r="213" spans="1:10">
      <c r="A213" s="457"/>
      <c r="B213" s="406"/>
      <c r="C213" s="545"/>
      <c r="D213" s="424" t="s">
        <v>204</v>
      </c>
      <c r="E213" s="419"/>
      <c r="F213" s="544"/>
      <c r="G213" s="749"/>
      <c r="H213" s="749"/>
      <c r="I213" s="750"/>
      <c r="J213" s="751"/>
    </row>
    <row r="214" spans="1:10">
      <c r="A214" s="457"/>
      <c r="B214" s="406"/>
      <c r="C214" s="545"/>
      <c r="D214" s="424" t="s">
        <v>205</v>
      </c>
      <c r="E214" s="419"/>
      <c r="F214" s="544"/>
      <c r="G214" s="749"/>
      <c r="H214" s="749"/>
      <c r="I214" s="750"/>
      <c r="J214" s="751"/>
    </row>
    <row r="215" spans="1:10">
      <c r="A215" s="417" t="s">
        <v>221</v>
      </c>
      <c r="B215" s="486"/>
      <c r="C215" s="486"/>
      <c r="D215" s="424" t="s">
        <v>222</v>
      </c>
      <c r="E215" s="419"/>
      <c r="F215" s="623"/>
      <c r="G215" s="549"/>
      <c r="H215" s="549"/>
      <c r="I215" s="550"/>
      <c r="J215" s="420"/>
    </row>
    <row r="216" spans="1:10">
      <c r="A216" s="457"/>
      <c r="B216" s="406"/>
      <c r="C216" s="406"/>
      <c r="D216" s="424" t="s">
        <v>223</v>
      </c>
      <c r="E216" s="419"/>
      <c r="F216" s="623"/>
      <c r="G216" s="549"/>
      <c r="H216" s="549"/>
      <c r="I216" s="550"/>
      <c r="J216" s="420"/>
    </row>
    <row r="217" spans="1:10">
      <c r="A217" s="457"/>
      <c r="B217" s="406"/>
      <c r="C217" s="545"/>
      <c r="D217" s="424" t="s">
        <v>224</v>
      </c>
      <c r="E217" s="419"/>
      <c r="F217" s="623"/>
      <c r="G217" s="549"/>
      <c r="H217" s="549"/>
      <c r="I217" s="550"/>
      <c r="J217" s="420"/>
    </row>
    <row r="218" spans="1:10">
      <c r="A218" s="457"/>
      <c r="B218" s="406"/>
      <c r="C218" s="545"/>
      <c r="D218" s="424" t="s">
        <v>225</v>
      </c>
      <c r="E218" s="419"/>
      <c r="F218" s="623"/>
      <c r="G218" s="549"/>
      <c r="H218" s="549"/>
      <c r="I218" s="550"/>
      <c r="J218" s="420"/>
    </row>
    <row r="219" spans="1:10">
      <c r="A219" s="457"/>
      <c r="B219" s="406"/>
      <c r="C219" s="545"/>
      <c r="D219" s="424" t="s">
        <v>226</v>
      </c>
      <c r="E219" s="419"/>
      <c r="F219" s="623"/>
      <c r="G219" s="549"/>
      <c r="H219" s="549"/>
      <c r="I219" s="550"/>
      <c r="J219" s="420"/>
    </row>
    <row r="220" spans="1:10">
      <c r="A220" s="457"/>
      <c r="B220" s="406"/>
      <c r="C220" s="545"/>
      <c r="D220" s="424" t="s">
        <v>227</v>
      </c>
      <c r="E220" s="419"/>
      <c r="F220" s="623"/>
      <c r="G220" s="549"/>
      <c r="H220" s="549"/>
      <c r="I220" s="550"/>
      <c r="J220" s="420"/>
    </row>
    <row r="221" spans="1:10">
      <c r="A221" s="457"/>
      <c r="B221" s="406"/>
      <c r="C221" s="545"/>
      <c r="D221" s="424" t="s">
        <v>228</v>
      </c>
      <c r="E221" s="419"/>
      <c r="F221" s="623"/>
      <c r="G221" s="549"/>
      <c r="H221" s="549"/>
      <c r="I221" s="550"/>
      <c r="J221" s="420"/>
    </row>
    <row r="222" spans="1:10">
      <c r="A222" s="457"/>
      <c r="B222" s="406"/>
      <c r="C222" s="545"/>
      <c r="D222" s="424" t="s">
        <v>229</v>
      </c>
      <c r="E222" s="419"/>
      <c r="F222" s="623"/>
      <c r="G222" s="549"/>
      <c r="H222" s="549"/>
      <c r="I222" s="550"/>
      <c r="J222" s="420"/>
    </row>
    <row r="223" spans="1:10">
      <c r="A223" s="457"/>
      <c r="B223" s="406"/>
      <c r="C223" s="545"/>
      <c r="D223" s="424" t="s">
        <v>230</v>
      </c>
      <c r="E223" s="419"/>
      <c r="F223" s="623"/>
      <c r="G223" s="549"/>
      <c r="H223" s="549"/>
      <c r="I223" s="550"/>
      <c r="J223" s="420"/>
    </row>
    <row r="224" spans="1:10">
      <c r="A224" s="457"/>
      <c r="B224" s="406"/>
      <c r="C224" s="545"/>
      <c r="D224" s="424" t="s">
        <v>231</v>
      </c>
      <c r="E224" s="419"/>
      <c r="F224" s="623"/>
      <c r="G224" s="549"/>
      <c r="H224" s="549"/>
      <c r="I224" s="550"/>
      <c r="J224" s="420"/>
    </row>
    <row r="225" spans="1:10">
      <c r="A225" s="457"/>
      <c r="B225" s="406"/>
      <c r="C225" s="545"/>
      <c r="D225" s="424" t="s">
        <v>232</v>
      </c>
      <c r="E225" s="419"/>
      <c r="F225" s="623"/>
      <c r="G225" s="549"/>
      <c r="H225" s="549"/>
      <c r="I225" s="550"/>
      <c r="J225" s="420"/>
    </row>
    <row r="226" spans="1:10">
      <c r="A226" s="457"/>
      <c r="B226" s="406"/>
      <c r="C226" s="545"/>
      <c r="D226" s="551" t="s">
        <v>233</v>
      </c>
      <c r="E226" s="495"/>
      <c r="F226" s="623"/>
      <c r="G226" s="549"/>
      <c r="H226" s="549"/>
      <c r="I226" s="550"/>
      <c r="J226" s="552"/>
    </row>
    <row r="227" spans="1:10">
      <c r="A227" s="457"/>
      <c r="B227" s="406"/>
      <c r="C227" s="406"/>
      <c r="D227" s="424" t="s">
        <v>234</v>
      </c>
      <c r="E227" s="419"/>
      <c r="F227" s="623"/>
      <c r="G227" s="549"/>
      <c r="H227" s="549"/>
      <c r="I227" s="550"/>
      <c r="J227" s="514"/>
    </row>
    <row r="228" spans="1:10">
      <c r="A228" s="457"/>
      <c r="B228" s="406"/>
      <c r="C228" s="406"/>
      <c r="D228" s="553" t="s">
        <v>235</v>
      </c>
      <c r="E228" s="554"/>
      <c r="F228" s="623"/>
      <c r="G228" s="549"/>
      <c r="H228" s="549"/>
      <c r="I228" s="550"/>
      <c r="J228" s="555"/>
    </row>
    <row r="229" spans="1:10">
      <c r="A229" s="457"/>
      <c r="B229" s="406"/>
      <c r="C229" s="545"/>
      <c r="D229" s="424" t="s">
        <v>236</v>
      </c>
      <c r="E229" s="419"/>
      <c r="F229" s="623"/>
      <c r="G229" s="549"/>
      <c r="H229" s="549"/>
      <c r="I229" s="550"/>
      <c r="J229" s="420"/>
    </row>
    <row r="230" spans="1:10">
      <c r="A230" s="457"/>
      <c r="B230" s="406"/>
      <c r="C230" s="545"/>
      <c r="D230" s="551" t="s">
        <v>237</v>
      </c>
      <c r="E230" s="495"/>
      <c r="F230" s="556"/>
      <c r="G230" s="557"/>
      <c r="H230" s="557"/>
      <c r="I230" s="558"/>
      <c r="J230" s="552"/>
    </row>
    <row r="231" spans="1:10">
      <c r="A231" s="457"/>
      <c r="B231" s="406"/>
      <c r="C231" s="545"/>
      <c r="D231" s="551" t="s">
        <v>238</v>
      </c>
      <c r="E231" s="419"/>
      <c r="F231" s="623"/>
      <c r="G231" s="549"/>
      <c r="H231" s="549"/>
      <c r="I231" s="550"/>
      <c r="J231" s="514"/>
    </row>
    <row r="232" spans="1:10">
      <c r="A232" s="457"/>
      <c r="B232" s="406"/>
      <c r="C232" s="545"/>
      <c r="D232" s="424" t="s">
        <v>239</v>
      </c>
      <c r="E232" s="419"/>
      <c r="F232" s="623"/>
      <c r="G232" s="549"/>
      <c r="H232" s="549"/>
      <c r="I232" s="550"/>
      <c r="J232" s="420"/>
    </row>
    <row r="233" spans="1:10" ht="14.25" thickBot="1">
      <c r="A233" s="559"/>
      <c r="B233" s="560"/>
      <c r="C233" s="561"/>
      <c r="D233" s="562" t="s">
        <v>240</v>
      </c>
      <c r="E233" s="563"/>
      <c r="F233" s="564"/>
      <c r="G233" s="565"/>
      <c r="H233" s="565"/>
      <c r="I233" s="566"/>
      <c r="J233" s="567"/>
    </row>
    <row r="235" spans="1:10" ht="14.25" thickBot="1">
      <c r="A235" s="407" t="s">
        <v>241</v>
      </c>
      <c r="B235" s="411"/>
      <c r="C235" s="411"/>
      <c r="D235" s="411"/>
      <c r="E235" s="411"/>
      <c r="F235" s="411"/>
      <c r="G235" s="411"/>
      <c r="H235" s="411"/>
      <c r="I235" s="411"/>
      <c r="J235" s="411"/>
    </row>
    <row r="236" spans="1:10">
      <c r="A236" s="455"/>
      <c r="B236" s="456"/>
      <c r="C236" s="456"/>
      <c r="D236" s="456"/>
      <c r="E236" s="456"/>
      <c r="F236" s="852" t="s">
        <v>284</v>
      </c>
      <c r="G236" s="853"/>
      <c r="H236" s="853"/>
      <c r="I236" s="854"/>
      <c r="J236" s="837" t="s">
        <v>285</v>
      </c>
    </row>
    <row r="237" spans="1:10" ht="14.25" thickBot="1">
      <c r="A237" s="457"/>
      <c r="B237" s="406"/>
      <c r="C237" s="406"/>
      <c r="D237" s="406"/>
      <c r="E237" s="406"/>
      <c r="F237" s="458"/>
      <c r="G237" s="459" t="s">
        <v>286</v>
      </c>
      <c r="H237" s="460" t="s">
        <v>287</v>
      </c>
      <c r="I237" s="461" t="s">
        <v>288</v>
      </c>
      <c r="J237" s="838"/>
    </row>
    <row r="238" spans="1:10">
      <c r="A238" s="455" t="s">
        <v>211</v>
      </c>
      <c r="B238" s="456"/>
      <c r="C238" s="568"/>
      <c r="D238" s="569" t="s">
        <v>212</v>
      </c>
      <c r="E238" s="570"/>
      <c r="F238" s="544"/>
      <c r="G238" s="546">
        <v>0.5</v>
      </c>
      <c r="H238" s="546">
        <v>0.5</v>
      </c>
      <c r="I238" s="547">
        <v>0.5</v>
      </c>
      <c r="J238" s="548">
        <v>0.5</v>
      </c>
    </row>
    <row r="239" spans="1:10">
      <c r="A239" s="457"/>
      <c r="B239" s="406"/>
      <c r="C239" s="406"/>
      <c r="D239" s="427" t="s">
        <v>213</v>
      </c>
      <c r="E239" s="571"/>
      <c r="F239" s="544"/>
      <c r="G239" s="546">
        <v>0.75</v>
      </c>
      <c r="H239" s="546">
        <v>0.75</v>
      </c>
      <c r="I239" s="547">
        <v>0.75</v>
      </c>
      <c r="J239" s="548">
        <v>0.75</v>
      </c>
    </row>
    <row r="240" spans="1:10">
      <c r="A240" s="457"/>
      <c r="B240" s="406"/>
      <c r="C240" s="545"/>
      <c r="D240" s="427" t="s">
        <v>214</v>
      </c>
      <c r="E240" s="571"/>
      <c r="F240" s="544"/>
      <c r="G240" s="546">
        <v>0.75</v>
      </c>
      <c r="H240" s="546">
        <v>0.75</v>
      </c>
      <c r="I240" s="547">
        <v>0.75</v>
      </c>
      <c r="J240" s="548">
        <v>0.75</v>
      </c>
    </row>
    <row r="241" spans="1:10">
      <c r="A241" s="457"/>
      <c r="B241" s="406"/>
      <c r="C241" s="545"/>
      <c r="D241" s="427" t="s">
        <v>215</v>
      </c>
      <c r="E241" s="571"/>
      <c r="F241" s="544"/>
      <c r="G241" s="546">
        <v>0.9</v>
      </c>
      <c r="H241" s="546">
        <v>0.9</v>
      </c>
      <c r="I241" s="547">
        <v>0.9</v>
      </c>
      <c r="J241" s="548">
        <v>0.9</v>
      </c>
    </row>
    <row r="242" spans="1:10">
      <c r="A242" s="457"/>
      <c r="B242" s="406"/>
      <c r="C242" s="545"/>
      <c r="D242" s="427" t="s">
        <v>216</v>
      </c>
      <c r="E242" s="571"/>
      <c r="F242" s="544"/>
      <c r="G242" s="546">
        <v>1</v>
      </c>
      <c r="H242" s="546">
        <v>1</v>
      </c>
      <c r="I242" s="547">
        <v>1</v>
      </c>
      <c r="J242" s="548">
        <v>1</v>
      </c>
    </row>
    <row r="243" spans="1:10">
      <c r="A243" s="457"/>
      <c r="B243" s="406"/>
      <c r="C243" s="545"/>
      <c r="D243" s="427" t="s">
        <v>217</v>
      </c>
      <c r="E243" s="571"/>
      <c r="F243" s="544"/>
      <c r="G243" s="546">
        <v>1.2</v>
      </c>
      <c r="H243" s="546">
        <v>1.2</v>
      </c>
      <c r="I243" s="547">
        <v>1.2</v>
      </c>
      <c r="J243" s="548">
        <v>1.2</v>
      </c>
    </row>
    <row r="244" spans="1:10">
      <c r="A244" s="457"/>
      <c r="B244" s="406"/>
      <c r="C244" s="545"/>
      <c r="D244" s="427" t="s">
        <v>218</v>
      </c>
      <c r="E244" s="571"/>
      <c r="F244" s="544"/>
      <c r="G244" s="546">
        <v>1.3</v>
      </c>
      <c r="H244" s="546">
        <v>1.3</v>
      </c>
      <c r="I244" s="547">
        <v>1.3</v>
      </c>
      <c r="J244" s="548">
        <v>1.3</v>
      </c>
    </row>
    <row r="245" spans="1:10">
      <c r="A245" s="457"/>
      <c r="B245" s="406"/>
      <c r="C245" s="545"/>
      <c r="D245" s="427" t="s">
        <v>219</v>
      </c>
      <c r="E245" s="571"/>
      <c r="F245" s="544"/>
      <c r="G245" s="546">
        <v>1.5</v>
      </c>
      <c r="H245" s="546">
        <v>1.5</v>
      </c>
      <c r="I245" s="547">
        <v>1.5</v>
      </c>
      <c r="J245" s="548">
        <v>1.5</v>
      </c>
    </row>
    <row r="246" spans="1:10">
      <c r="A246" s="457"/>
      <c r="B246" s="406"/>
      <c r="C246" s="545"/>
      <c r="D246" s="427" t="s">
        <v>220</v>
      </c>
      <c r="E246" s="571"/>
      <c r="F246" s="544"/>
      <c r="G246" s="546">
        <v>1.7</v>
      </c>
      <c r="H246" s="546">
        <v>1.7</v>
      </c>
      <c r="I246" s="547">
        <v>1.7</v>
      </c>
      <c r="J246" s="548">
        <v>1.7</v>
      </c>
    </row>
    <row r="247" spans="1:10">
      <c r="A247" s="417" t="s">
        <v>221</v>
      </c>
      <c r="B247" s="486"/>
      <c r="C247" s="486"/>
      <c r="D247" s="427" t="s">
        <v>222</v>
      </c>
      <c r="E247" s="571"/>
      <c r="F247" s="622">
        <v>1200000</v>
      </c>
      <c r="G247" s="549"/>
      <c r="H247" s="549"/>
      <c r="I247" s="550"/>
      <c r="J247" s="416">
        <v>1200000</v>
      </c>
    </row>
    <row r="248" spans="1:10">
      <c r="A248" s="457"/>
      <c r="B248" s="406"/>
      <c r="C248" s="406"/>
      <c r="D248" s="427" t="s">
        <v>223</v>
      </c>
      <c r="E248" s="571"/>
      <c r="F248" s="622">
        <v>2000000</v>
      </c>
      <c r="G248" s="549"/>
      <c r="H248" s="549"/>
      <c r="I248" s="550"/>
      <c r="J248" s="416">
        <v>2000000</v>
      </c>
    </row>
    <row r="249" spans="1:10" ht="14.25" thickBot="1">
      <c r="A249" s="559"/>
      <c r="B249" s="560"/>
      <c r="C249" s="561"/>
      <c r="D249" s="572" t="s">
        <v>224</v>
      </c>
      <c r="E249" s="573"/>
      <c r="F249" s="540">
        <v>3000000</v>
      </c>
      <c r="G249" s="565"/>
      <c r="H249" s="565"/>
      <c r="I249" s="566"/>
      <c r="J249" s="574">
        <v>3000000</v>
      </c>
    </row>
  </sheetData>
  <mergeCells count="64">
    <mergeCell ref="F187:I187"/>
    <mergeCell ref="J187:J188"/>
    <mergeCell ref="F236:I236"/>
    <mergeCell ref="J236:J237"/>
    <mergeCell ref="F100:I100"/>
    <mergeCell ref="J100:J101"/>
    <mergeCell ref="B129:E129"/>
    <mergeCell ref="B156:E156"/>
    <mergeCell ref="B183:E183"/>
    <mergeCell ref="B184:E184"/>
    <mergeCell ref="F62:G62"/>
    <mergeCell ref="F63:G63"/>
    <mergeCell ref="F66:I66"/>
    <mergeCell ref="J66:J67"/>
    <mergeCell ref="C71:E71"/>
    <mergeCell ref="B73:E73"/>
    <mergeCell ref="F56:G56"/>
    <mergeCell ref="F57:G57"/>
    <mergeCell ref="F58:G58"/>
    <mergeCell ref="F59:G59"/>
    <mergeCell ref="F60:G60"/>
    <mergeCell ref="F61:G61"/>
    <mergeCell ref="F55:G55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3:G53"/>
    <mergeCell ref="F54:G54"/>
    <mergeCell ref="F42:G42"/>
    <mergeCell ref="F30:I30"/>
    <mergeCell ref="F31:I31"/>
    <mergeCell ref="F32:I32"/>
    <mergeCell ref="F33:I33"/>
    <mergeCell ref="F34:I34"/>
    <mergeCell ref="F35:I35"/>
    <mergeCell ref="F36:I36"/>
    <mergeCell ref="F39:H39"/>
    <mergeCell ref="I39:J39"/>
    <mergeCell ref="F40:G40"/>
    <mergeCell ref="F41:G41"/>
    <mergeCell ref="F29:I29"/>
    <mergeCell ref="F16:I16"/>
    <mergeCell ref="F17:I17"/>
    <mergeCell ref="F18:I18"/>
    <mergeCell ref="F19:I19"/>
    <mergeCell ref="F20:I20"/>
    <mergeCell ref="F21:I21"/>
    <mergeCell ref="F22:I22"/>
    <mergeCell ref="F25:I25"/>
    <mergeCell ref="F26:I26"/>
    <mergeCell ref="F27:I27"/>
    <mergeCell ref="F28:I28"/>
    <mergeCell ref="F15:I15"/>
    <mergeCell ref="F8:I8"/>
    <mergeCell ref="F11:I11"/>
    <mergeCell ref="F12:I12"/>
    <mergeCell ref="F13:I13"/>
    <mergeCell ref="F14:I14"/>
  </mergeCells>
  <phoneticPr fontId="4"/>
  <dataValidations disablePrompts="1" count="1">
    <dataValidation type="custom" imeMode="off" allowBlank="1" showInputMessage="1" showErrorMessage="1" error="・前の段階と後ろの段階の間の数値を入力してください。_x000a_・前後の段階と同じ割合を入力することはできません。" sqref="G194">
      <formula1>AND(G193&lt;G194,G194&lt;G195)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&amp;C「&amp;A」シート</oddHeader>
    <oddFooter>&amp;C&amp;P</oddFooter>
  </headerFooter>
  <rowBreaks count="3" manualBreakCount="3">
    <brk id="64" max="9" man="1"/>
    <brk id="98" max="9" man="1"/>
    <brk id="185" max="9" man="1"/>
  </rowBreaks>
  <colBreaks count="1" manualBreakCount="1">
    <brk id="10" max="2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34"/>
  <sheetViews>
    <sheetView zoomScaleNormal="100" zoomScaleSheetLayoutView="85" workbookViewId="0">
      <selection activeCell="H1" sqref="H1"/>
    </sheetView>
  </sheetViews>
  <sheetFormatPr defaultRowHeight="11.25"/>
  <cols>
    <col min="1" max="1" width="2.625" style="376" customWidth="1"/>
    <col min="2" max="2" width="4.25" style="376" customWidth="1"/>
    <col min="3" max="3" width="46.75" style="376" customWidth="1"/>
    <col min="4" max="7" width="13" style="376" customWidth="1"/>
    <col min="8" max="8" width="1.625" style="376" customWidth="1"/>
    <col min="9" max="16384" width="9" style="376"/>
  </cols>
  <sheetData>
    <row r="1" spans="2:7">
      <c r="B1" s="376" t="s">
        <v>125</v>
      </c>
    </row>
    <row r="3" spans="2:7" ht="3" customHeight="1" thickBot="1"/>
    <row r="4" spans="2:7" ht="18.75" customHeight="1" thickBot="1">
      <c r="D4" s="377" t="s">
        <v>253</v>
      </c>
      <c r="E4" s="378" t="s">
        <v>254</v>
      </c>
    </row>
    <row r="5" spans="2:7" ht="18.75" customHeight="1" thickBot="1">
      <c r="C5" s="379" t="s">
        <v>255</v>
      </c>
      <c r="D5" s="380">
        <v>0.23</v>
      </c>
      <c r="E5" s="381">
        <v>0.25</v>
      </c>
    </row>
    <row r="7" spans="2:7" ht="18.75" customHeight="1" thickBot="1">
      <c r="B7" s="376" t="s">
        <v>298</v>
      </c>
      <c r="D7" s="382"/>
    </row>
    <row r="8" spans="2:7" ht="18.75" customHeight="1" thickBot="1">
      <c r="C8" s="383"/>
      <c r="D8" s="384" t="s">
        <v>256</v>
      </c>
      <c r="E8" s="384" t="s">
        <v>257</v>
      </c>
      <c r="F8" s="384" t="s">
        <v>258</v>
      </c>
      <c r="G8" s="385" t="s">
        <v>254</v>
      </c>
    </row>
    <row r="9" spans="2:7" ht="18.75" customHeight="1">
      <c r="C9" s="392" t="s">
        <v>126</v>
      </c>
      <c r="D9" s="625">
        <v>0.49730000000000002</v>
      </c>
      <c r="E9" s="626">
        <v>0.48909999999999998</v>
      </c>
      <c r="F9" s="626">
        <v>0.48480000000000001</v>
      </c>
      <c r="G9" s="627">
        <v>0.41239999999999999</v>
      </c>
    </row>
    <row r="10" spans="2:7" ht="18.75" customHeight="1">
      <c r="C10" s="688" t="s">
        <v>300</v>
      </c>
      <c r="D10" s="689">
        <v>0.50270000000000004</v>
      </c>
      <c r="E10" s="690">
        <v>0.51090000000000002</v>
      </c>
      <c r="F10" s="690">
        <v>0.51519999999999999</v>
      </c>
      <c r="G10" s="719" t="s">
        <v>297</v>
      </c>
    </row>
    <row r="11" spans="2:7" ht="18.75" customHeight="1">
      <c r="C11" s="386" t="s">
        <v>301</v>
      </c>
      <c r="D11" s="628">
        <v>0.34250000000000003</v>
      </c>
      <c r="E11" s="387">
        <v>0.3458</v>
      </c>
      <c r="F11" s="387">
        <v>0.34510000000000002</v>
      </c>
      <c r="G11" s="388">
        <v>0.39439999999999997</v>
      </c>
    </row>
    <row r="12" spans="2:7" ht="18.75" customHeight="1">
      <c r="C12" s="386" t="s">
        <v>302</v>
      </c>
      <c r="D12" s="628">
        <v>0.16020000000000001</v>
      </c>
      <c r="E12" s="387">
        <v>0.1651</v>
      </c>
      <c r="F12" s="387">
        <v>0.1701</v>
      </c>
      <c r="G12" s="388">
        <v>0.19320000000000001</v>
      </c>
    </row>
    <row r="13" spans="2:7" ht="18.75" customHeight="1">
      <c r="C13" s="386" t="s">
        <v>303</v>
      </c>
      <c r="D13" s="628">
        <v>4.3900000000000002E-2</v>
      </c>
      <c r="E13" s="387">
        <v>4.3900000000000002E-2</v>
      </c>
      <c r="F13" s="387">
        <v>4.3900000000000002E-2</v>
      </c>
      <c r="G13" s="388">
        <v>4.3900000000000002E-2</v>
      </c>
    </row>
    <row r="14" spans="2:7" ht="18.75" customHeight="1">
      <c r="C14" s="386" t="s">
        <v>304</v>
      </c>
      <c r="D14" s="628">
        <v>0.32590000000000002</v>
      </c>
      <c r="E14" s="387">
        <v>0.32590000000000002</v>
      </c>
      <c r="F14" s="387">
        <v>0.32590000000000002</v>
      </c>
      <c r="G14" s="720" t="s">
        <v>297</v>
      </c>
    </row>
    <row r="15" spans="2:7" ht="18.75" customHeight="1">
      <c r="C15" s="386" t="s">
        <v>305</v>
      </c>
      <c r="D15" s="628">
        <v>0.2069</v>
      </c>
      <c r="E15" s="387">
        <v>0.2069</v>
      </c>
      <c r="F15" s="387">
        <v>0.2069</v>
      </c>
      <c r="G15" s="388">
        <v>0.2069</v>
      </c>
    </row>
    <row r="16" spans="2:7" ht="18.75" customHeight="1" thickBot="1">
      <c r="C16" s="389" t="s">
        <v>306</v>
      </c>
      <c r="D16" s="629">
        <v>0.59889999999999999</v>
      </c>
      <c r="E16" s="390">
        <v>0.59889999999999999</v>
      </c>
      <c r="F16" s="390">
        <v>0.59889999999999999</v>
      </c>
      <c r="G16" s="391">
        <v>0.59889999999999999</v>
      </c>
    </row>
    <row r="18" spans="2:4" ht="18.75" customHeight="1" thickBot="1">
      <c r="B18" s="376" t="s">
        <v>299</v>
      </c>
      <c r="D18" s="382"/>
    </row>
    <row r="19" spans="2:4" ht="18.75" customHeight="1">
      <c r="C19" s="392" t="s">
        <v>127</v>
      </c>
      <c r="D19" s="721">
        <v>0.183</v>
      </c>
    </row>
    <row r="20" spans="2:4" ht="18.75" customHeight="1">
      <c r="C20" s="386" t="s">
        <v>128</v>
      </c>
      <c r="D20" s="722">
        <v>7.9000000000000001E-2</v>
      </c>
    </row>
    <row r="21" spans="2:4" ht="18.75" customHeight="1">
      <c r="C21" s="386" t="s">
        <v>129</v>
      </c>
      <c r="D21" s="722">
        <v>7.3999999999999996E-2</v>
      </c>
    </row>
    <row r="22" spans="2:4" ht="18.75" customHeight="1">
      <c r="C22" s="386" t="s">
        <v>130</v>
      </c>
      <c r="D22" s="722">
        <v>0.13900000000000001</v>
      </c>
    </row>
    <row r="23" spans="2:4" ht="18.75" customHeight="1">
      <c r="C23" s="386" t="s">
        <v>131</v>
      </c>
      <c r="D23" s="722">
        <v>0.13400000000000001</v>
      </c>
    </row>
    <row r="24" spans="2:4" ht="18.75" customHeight="1">
      <c r="C24" s="386" t="s">
        <v>132</v>
      </c>
      <c r="D24" s="722">
        <v>0.13300000000000001</v>
      </c>
    </row>
    <row r="25" spans="2:4" ht="18.75" customHeight="1">
      <c r="C25" s="386" t="s">
        <v>133</v>
      </c>
      <c r="D25" s="722">
        <v>0.127</v>
      </c>
    </row>
    <row r="26" spans="2:4" ht="18.75" customHeight="1">
      <c r="C26" s="386" t="s">
        <v>134</v>
      </c>
      <c r="D26" s="722">
        <v>6.2E-2</v>
      </c>
    </row>
    <row r="27" spans="2:4" ht="18.75" customHeight="1" thickBot="1">
      <c r="C27" s="389" t="s">
        <v>135</v>
      </c>
      <c r="D27" s="723">
        <v>6.9000000000000006E-2</v>
      </c>
    </row>
    <row r="29" spans="2:4" ht="18.75" customHeight="1" thickBot="1">
      <c r="B29" s="376" t="s">
        <v>259</v>
      </c>
      <c r="D29" s="382"/>
    </row>
    <row r="30" spans="2:4" ht="18.75" customHeight="1">
      <c r="C30" s="393" t="s">
        <v>136</v>
      </c>
      <c r="D30" s="394">
        <v>1</v>
      </c>
    </row>
    <row r="31" spans="2:4" ht="18.75" customHeight="1" thickBot="1">
      <c r="C31" s="395" t="s">
        <v>137</v>
      </c>
      <c r="D31" s="396">
        <v>1</v>
      </c>
    </row>
    <row r="33" spans="2:4" ht="18.75" customHeight="1" thickBot="1">
      <c r="B33" s="397"/>
      <c r="D33" s="382"/>
    </row>
    <row r="34" spans="2:4" ht="36" customHeight="1" thickBot="1">
      <c r="C34" s="398" t="s">
        <v>138</v>
      </c>
      <c r="D34" s="399">
        <v>95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&amp;C「&amp;A」シート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1_推計値サマリ</vt:lpstr>
      <vt:lpstr>2_サービス別給付費</vt:lpstr>
      <vt:lpstr>3_保険料推計</vt:lpstr>
      <vt:lpstr>(参考)保険料の推計に要する係数</vt:lpstr>
      <vt:lpstr>'(参考)保険料の推計に要する係数'!Print_Area</vt:lpstr>
      <vt:lpstr>'1_推計値サマリ'!Print_Area</vt:lpstr>
      <vt:lpstr>'2_サービス別給付費'!Print_Area</vt:lpstr>
      <vt:lpstr>'3_保険料推計'!Print_Area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tabata1388</cp:lastModifiedBy>
  <dcterms:modified xsi:type="dcterms:W3CDTF">2018-11-15T05:38:53Z</dcterms:modified>
</cp:coreProperties>
</file>