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>
    <mc:Choice Requires="x15">
      <x15ac:absPath xmlns:x15ac="http://schemas.microsoft.com/office/spreadsheetml/2010/11/ac" url="C:\Users\f1046510\AppData\Local\Temp\excel.svn003.tmp\"/>
    </mc:Choice>
  </mc:AlternateContent>
  <bookViews>
    <workbookView xWindow="0" yWindow="0" windowWidth="28800" windowHeight="12450" tabRatio="705"/>
  </bookViews>
  <sheets>
    <sheet name="1_推計値サマリ" sheetId="1" r:id="rId1"/>
    <sheet name="2_サービス別給付費" sheetId="10" r:id="rId2"/>
    <sheet name="3_地域支援事業費" sheetId="11" r:id="rId3"/>
    <sheet name="4_施策反映の解説" sheetId="3" r:id="rId4"/>
    <sheet name="5_保険料推計" sheetId="8" r:id="rId5"/>
    <sheet name="(参考)保険料の推計に要する係数" sheetId="9" r:id="rId6"/>
  </sheets>
  <definedNames>
    <definedName name="_xlnm.Print_Area" localSheetId="5">'(参考)保険料の推計に要する係数'!$A$1:$K$36</definedName>
    <definedName name="_xlnm.Print_Area" localSheetId="0">'1_推計値サマリ'!$A$1:$S$163</definedName>
    <definedName name="_xlnm.Print_Area" localSheetId="1">'2_サービス別給付費'!$A$1:$S$163</definedName>
    <definedName name="_xlnm.Print_Area" localSheetId="2">'3_地域支援事業費'!$A$1:$K$56</definedName>
    <definedName name="_xlnm.Print_Area" localSheetId="3">'4_施策反映の解説'!$A$1:$L$47</definedName>
    <definedName name="_xlnm.Print_Area" localSheetId="4">'5_保険料推計'!$A$1:$O$254</definedName>
    <definedName name="グラフ選択" localSheetId="1">#REF!</definedName>
    <definedName name="グラフ選択">#REF!</definedName>
    <definedName name="サービス" localSheetId="1">#REF!</definedName>
    <definedName name="サービス">#REF!</definedName>
    <definedName name="サービス選択" localSheetId="1">#REF!</definedName>
    <definedName name="サービス選択">#REF!</definedName>
    <definedName name="サービス名" localSheetId="1">#REF!</definedName>
    <definedName name="サービス名">#REF!</definedName>
    <definedName name="在宅サービス" localSheetId="1">#REF!</definedName>
    <definedName name="在宅サービス">#REF!</definedName>
    <definedName name="施設・居住系サービス" localSheetId="1">#REF!</definedName>
    <definedName name="施設・居住系サービス">#REF!</definedName>
    <definedName name="選択肢" localSheetId="1">#REF!</definedName>
    <definedName name="選択肢">#REF!</definedName>
    <definedName name="年度選択" localSheetId="5">#REF!</definedName>
    <definedName name="年度選択" localSheetId="1">#REF!</definedName>
    <definedName name="年度選択">#REF!</definedName>
  </definedNames>
  <calcPr calcId="162913"/>
</workbook>
</file>

<file path=xl/calcChain.xml><?xml version="1.0" encoding="utf-8"?>
<calcChain xmlns="http://schemas.openxmlformats.org/spreadsheetml/2006/main">
  <c r="I41" i="1" l="1"/>
  <c r="M138" i="10" l="1"/>
  <c r="I159" i="10" l="1"/>
  <c r="M159" i="10" s="1"/>
  <c r="H159" i="10"/>
  <c r="L159" i="10" s="1"/>
  <c r="G159" i="10"/>
  <c r="K159" i="10" s="1"/>
  <c r="F159" i="10"/>
  <c r="E159" i="10"/>
  <c r="D159" i="10"/>
  <c r="D53" i="11" l="1"/>
  <c r="C53" i="11"/>
  <c r="B53" i="11"/>
  <c r="D52" i="11"/>
  <c r="C52" i="11"/>
  <c r="B52" i="11"/>
  <c r="D51" i="11"/>
  <c r="D54" i="11" s="1"/>
  <c r="C51" i="11"/>
  <c r="B51" i="11"/>
  <c r="B54" i="11" l="1"/>
  <c r="C54" i="11"/>
  <c r="K51" i="11"/>
  <c r="E53" i="11"/>
  <c r="E52" i="11"/>
  <c r="J51" i="11"/>
  <c r="I51" i="11"/>
  <c r="H51" i="11"/>
  <c r="G51" i="11"/>
  <c r="F51" i="11"/>
  <c r="E51" i="11"/>
  <c r="K53" i="11" l="1"/>
  <c r="K52" i="11"/>
  <c r="J53" i="11"/>
  <c r="J52" i="11"/>
  <c r="I53" i="11"/>
  <c r="I52" i="11"/>
  <c r="H53" i="11"/>
  <c r="H52" i="11"/>
  <c r="G53" i="11"/>
  <c r="G52" i="11"/>
  <c r="F53" i="11"/>
  <c r="F52" i="11"/>
  <c r="M87" i="8" l="1"/>
  <c r="L87" i="8"/>
  <c r="K87" i="8"/>
  <c r="J87" i="8"/>
  <c r="I87" i="8"/>
  <c r="H87" i="8"/>
  <c r="G87" i="8"/>
  <c r="M86" i="8"/>
  <c r="L86" i="8"/>
  <c r="K86" i="8"/>
  <c r="J86" i="8"/>
  <c r="I86" i="8"/>
  <c r="H86" i="8"/>
  <c r="G86" i="8"/>
  <c r="M85" i="8"/>
  <c r="L85" i="8"/>
  <c r="K85" i="8"/>
  <c r="J85" i="8"/>
  <c r="I85" i="8"/>
  <c r="H85" i="8"/>
  <c r="G85" i="8"/>
  <c r="F85" i="8" l="1"/>
  <c r="F87" i="8"/>
  <c r="F86" i="8"/>
  <c r="H84" i="8" l="1"/>
  <c r="I84" i="8"/>
  <c r="J84" i="8"/>
  <c r="K84" i="8"/>
  <c r="L84" i="8"/>
  <c r="M84" i="8"/>
  <c r="G84" i="8"/>
  <c r="F54" i="11" l="1"/>
  <c r="G54" i="11"/>
  <c r="K54" i="11"/>
  <c r="J54" i="11"/>
  <c r="K5" i="11"/>
  <c r="K4" i="11"/>
  <c r="K3" i="11"/>
  <c r="H54" i="11" l="1"/>
  <c r="I54" i="11"/>
  <c r="E54" i="11" l="1"/>
  <c r="H76" i="8" l="1"/>
  <c r="I76" i="8"/>
  <c r="J76" i="8"/>
  <c r="K76" i="8"/>
  <c r="L76" i="8"/>
  <c r="M76" i="8"/>
  <c r="G76" i="8"/>
  <c r="H73" i="8"/>
  <c r="I73" i="8"/>
  <c r="J73" i="8"/>
  <c r="K73" i="8"/>
  <c r="L73" i="8"/>
  <c r="M73" i="8"/>
  <c r="G73" i="8"/>
  <c r="F77" i="8"/>
  <c r="F78" i="8"/>
  <c r="O5" i="8" l="1"/>
  <c r="O4" i="8"/>
  <c r="O3" i="8"/>
  <c r="K5" i="3"/>
  <c r="K4" i="3"/>
  <c r="K3" i="3"/>
  <c r="Q5" i="10"/>
  <c r="Q4" i="10"/>
  <c r="Q3" i="10"/>
  <c r="L2" i="3"/>
  <c r="R2" i="10"/>
  <c r="M107" i="8"/>
  <c r="L107" i="8"/>
  <c r="K107" i="8"/>
  <c r="M194" i="8" l="1"/>
  <c r="M189" i="8"/>
  <c r="M188" i="8"/>
  <c r="M187" i="8"/>
  <c r="M160" i="8" s="1"/>
  <c r="M157" i="8"/>
  <c r="M153" i="8"/>
  <c r="M149" i="8"/>
  <c r="M145" i="8"/>
  <c r="M141" i="8"/>
  <c r="M137" i="8"/>
  <c r="M133" i="8"/>
  <c r="M122" i="8" s="1"/>
  <c r="M118" i="8"/>
  <c r="M114" i="8"/>
  <c r="M109" i="8"/>
  <c r="M96" i="8" s="1"/>
  <c r="M94" i="8" s="1"/>
  <c r="L194" i="8"/>
  <c r="L189" i="8"/>
  <c r="L188" i="8"/>
  <c r="L187" i="8"/>
  <c r="L160" i="8" s="1"/>
  <c r="L157" i="8"/>
  <c r="L153" i="8"/>
  <c r="L149" i="8"/>
  <c r="L145" i="8"/>
  <c r="L141" i="8"/>
  <c r="L137" i="8"/>
  <c r="L133" i="8"/>
  <c r="L122" i="8" s="1"/>
  <c r="L118" i="8"/>
  <c r="L114" i="8"/>
  <c r="L109" i="8"/>
  <c r="L96" i="8" s="1"/>
  <c r="L94" i="8" s="1"/>
  <c r="K194" i="8"/>
  <c r="K189" i="8"/>
  <c r="K188" i="8"/>
  <c r="K187" i="8"/>
  <c r="K160" i="8" s="1"/>
  <c r="K157" i="8"/>
  <c r="K153" i="8"/>
  <c r="K149" i="8"/>
  <c r="K145" i="8"/>
  <c r="K141" i="8"/>
  <c r="K137" i="8"/>
  <c r="K133" i="8"/>
  <c r="K122" i="8" s="1"/>
  <c r="K118" i="8"/>
  <c r="K114" i="8"/>
  <c r="K109" i="8"/>
  <c r="K96" i="8" s="1"/>
  <c r="K94" i="8" s="1"/>
  <c r="M83" i="8"/>
  <c r="M80" i="8" s="1"/>
  <c r="L83" i="8"/>
  <c r="L80" i="8" s="1"/>
  <c r="K83" i="8"/>
  <c r="K80" i="8" s="1"/>
  <c r="J16" i="8"/>
  <c r="I16" i="8"/>
  <c r="H16" i="8"/>
  <c r="M151" i="10"/>
  <c r="M153" i="10" s="1"/>
  <c r="L151" i="10"/>
  <c r="K151" i="10"/>
  <c r="K153" i="10" s="1"/>
  <c r="L153" i="10"/>
  <c r="M147" i="10"/>
  <c r="M146" i="10"/>
  <c r="M145" i="10"/>
  <c r="L147" i="10"/>
  <c r="L146" i="10"/>
  <c r="L145" i="10"/>
  <c r="K147" i="10"/>
  <c r="K146" i="10"/>
  <c r="K145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8" i="10"/>
  <c r="R129" i="10"/>
  <c r="R130" i="10"/>
  <c r="R131" i="10"/>
  <c r="R132" i="10"/>
  <c r="R133" i="10"/>
  <c r="R136" i="10"/>
  <c r="R137" i="10"/>
  <c r="R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7" i="10"/>
  <c r="P108" i="10"/>
  <c r="P109" i="10"/>
  <c r="P110" i="10"/>
  <c r="P111" i="10"/>
  <c r="P112" i="10"/>
  <c r="P113" i="10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8" i="10"/>
  <c r="P129" i="10"/>
  <c r="P130" i="10"/>
  <c r="P131" i="10"/>
  <c r="P132" i="10"/>
  <c r="P133" i="10"/>
  <c r="P136" i="10"/>
  <c r="P137" i="10"/>
  <c r="P66" i="10"/>
  <c r="N130" i="10"/>
  <c r="N131" i="10"/>
  <c r="N132" i="10"/>
  <c r="N133" i="10"/>
  <c r="N136" i="10"/>
  <c r="N137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8" i="10"/>
  <c r="N129" i="10"/>
  <c r="N66" i="10"/>
  <c r="Q138" i="10"/>
  <c r="O138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50" i="10"/>
  <c r="R51" i="10"/>
  <c r="R52" i="10"/>
  <c r="R53" i="10"/>
  <c r="R54" i="10"/>
  <c r="R55" i="10"/>
  <c r="R56" i="10"/>
  <c r="R57" i="10"/>
  <c r="R58" i="10"/>
  <c r="R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50" i="10"/>
  <c r="P51" i="10"/>
  <c r="P52" i="10"/>
  <c r="P53" i="10"/>
  <c r="P54" i="10"/>
  <c r="P55" i="10"/>
  <c r="P56" i="10"/>
  <c r="P57" i="10"/>
  <c r="P58" i="10"/>
  <c r="P14" i="10"/>
  <c r="N51" i="10"/>
  <c r="N52" i="10"/>
  <c r="N53" i="10"/>
  <c r="N54" i="10"/>
  <c r="N55" i="10"/>
  <c r="N56" i="10"/>
  <c r="N57" i="10"/>
  <c r="N58" i="10"/>
  <c r="N50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14" i="10"/>
  <c r="Q59" i="10"/>
  <c r="O59" i="10"/>
  <c r="M59" i="10"/>
  <c r="O161" i="1"/>
  <c r="O160" i="1"/>
  <c r="O159" i="1"/>
  <c r="O158" i="1"/>
  <c r="O157" i="1"/>
  <c r="O156" i="1"/>
  <c r="O155" i="1"/>
  <c r="O154" i="1"/>
  <c r="O153" i="1"/>
  <c r="O152" i="1"/>
  <c r="O151" i="1"/>
  <c r="M161" i="1"/>
  <c r="M160" i="1"/>
  <c r="M159" i="1"/>
  <c r="M158" i="1"/>
  <c r="M157" i="1"/>
  <c r="M156" i="1"/>
  <c r="M155" i="1"/>
  <c r="M154" i="1"/>
  <c r="M153" i="1"/>
  <c r="M152" i="1"/>
  <c r="M151" i="1"/>
  <c r="K161" i="1"/>
  <c r="K160" i="1"/>
  <c r="K159" i="1"/>
  <c r="K158" i="1"/>
  <c r="K157" i="1"/>
  <c r="K156" i="1"/>
  <c r="K155" i="1"/>
  <c r="K154" i="1"/>
  <c r="K153" i="1"/>
  <c r="K152" i="1"/>
  <c r="K151" i="1"/>
  <c r="K144" i="1"/>
  <c r="J144" i="1"/>
  <c r="I144" i="1"/>
  <c r="Q64" i="1"/>
  <c r="Q63" i="1"/>
  <c r="Q62" i="1"/>
  <c r="O64" i="1"/>
  <c r="O63" i="1"/>
  <c r="O62" i="1"/>
  <c r="M64" i="1"/>
  <c r="M63" i="1"/>
  <c r="M62" i="1"/>
  <c r="K144" i="10" l="1"/>
  <c r="K69" i="8" s="1"/>
  <c r="K68" i="8" s="1"/>
  <c r="K88" i="8" s="1"/>
  <c r="M144" i="10"/>
  <c r="M69" i="8" s="1"/>
  <c r="M68" i="8" s="1"/>
  <c r="M88" i="8" s="1"/>
  <c r="L144" i="10"/>
  <c r="L69" i="8" s="1"/>
  <c r="L68" i="8" s="1"/>
  <c r="L88" i="8" s="1"/>
  <c r="O65" i="1"/>
  <c r="I57" i="8"/>
  <c r="I45" i="8"/>
  <c r="H45" i="8"/>
  <c r="H57" i="8"/>
  <c r="I46" i="8"/>
  <c r="I58" i="8"/>
  <c r="H50" i="8"/>
  <c r="H48" i="8"/>
  <c r="I60" i="8"/>
  <c r="I62" i="8"/>
  <c r="I50" i="8"/>
  <c r="I48" i="8"/>
  <c r="J62" i="8"/>
  <c r="J60" i="8"/>
  <c r="H46" i="8"/>
  <c r="H58" i="8"/>
  <c r="H60" i="8"/>
  <c r="H62" i="8"/>
  <c r="J58" i="8"/>
  <c r="J46" i="8"/>
  <c r="J57" i="8"/>
  <c r="J45" i="8"/>
  <c r="J50" i="8"/>
  <c r="J48" i="8"/>
  <c r="M115" i="8"/>
  <c r="M119" i="8"/>
  <c r="M138" i="8"/>
  <c r="M142" i="8"/>
  <c r="M146" i="8"/>
  <c r="M150" i="8"/>
  <c r="M154" i="8"/>
  <c r="M158" i="8"/>
  <c r="M116" i="8"/>
  <c r="M120" i="8"/>
  <c r="M135" i="8"/>
  <c r="M139" i="8"/>
  <c r="M143" i="8"/>
  <c r="M147" i="8"/>
  <c r="M151" i="8"/>
  <c r="M155" i="8"/>
  <c r="M159" i="8"/>
  <c r="M113" i="8"/>
  <c r="M117" i="8"/>
  <c r="M121" i="8"/>
  <c r="M136" i="8"/>
  <c r="M140" i="8"/>
  <c r="M144" i="8"/>
  <c r="M148" i="8"/>
  <c r="M152" i="8"/>
  <c r="M156" i="8"/>
  <c r="L115" i="8"/>
  <c r="L119" i="8"/>
  <c r="L138" i="8"/>
  <c r="L142" i="8"/>
  <c r="L146" i="8"/>
  <c r="L150" i="8"/>
  <c r="L154" i="8"/>
  <c r="L158" i="8"/>
  <c r="L116" i="8"/>
  <c r="L120" i="8"/>
  <c r="L135" i="8"/>
  <c r="L139" i="8"/>
  <c r="L143" i="8"/>
  <c r="L147" i="8"/>
  <c r="L151" i="8"/>
  <c r="L155" i="8"/>
  <c r="L159" i="8"/>
  <c r="L113" i="8"/>
  <c r="L117" i="8"/>
  <c r="L121" i="8"/>
  <c r="L136" i="8"/>
  <c r="L140" i="8"/>
  <c r="L144" i="8"/>
  <c r="L148" i="8"/>
  <c r="L152" i="8"/>
  <c r="L156" i="8"/>
  <c r="K115" i="8"/>
  <c r="K119" i="8"/>
  <c r="K138" i="8"/>
  <c r="K142" i="8"/>
  <c r="K146" i="8"/>
  <c r="K150" i="8"/>
  <c r="K154" i="8"/>
  <c r="K158" i="8"/>
  <c r="K116" i="8"/>
  <c r="K120" i="8"/>
  <c r="K135" i="8"/>
  <c r="K139" i="8"/>
  <c r="K143" i="8"/>
  <c r="K147" i="8"/>
  <c r="K151" i="8"/>
  <c r="K155" i="8"/>
  <c r="K159" i="8"/>
  <c r="K113" i="8"/>
  <c r="K117" i="8"/>
  <c r="K121" i="8"/>
  <c r="K136" i="8"/>
  <c r="K140" i="8"/>
  <c r="K144" i="8"/>
  <c r="K148" i="8"/>
  <c r="K152" i="8"/>
  <c r="K156" i="8"/>
  <c r="Q65" i="1"/>
  <c r="M65" i="1"/>
  <c r="M89" i="8" l="1"/>
  <c r="J18" i="8"/>
  <c r="J47" i="8" s="1"/>
  <c r="H18" i="8"/>
  <c r="H47" i="8" s="1"/>
  <c r="L89" i="8"/>
  <c r="K89" i="8"/>
  <c r="M97" i="8"/>
  <c r="I18" i="8"/>
  <c r="L97" i="8"/>
  <c r="K97" i="8"/>
  <c r="H59" i="8" l="1"/>
  <c r="J59" i="8"/>
  <c r="I59" i="8"/>
  <c r="I47" i="8"/>
  <c r="L93" i="8"/>
  <c r="L90" i="8" s="1"/>
  <c r="M93" i="8"/>
  <c r="M90" i="8" s="1"/>
  <c r="K93" i="8"/>
  <c r="K90" i="8" s="1"/>
  <c r="H41" i="8" s="1"/>
  <c r="I41" i="8" l="1"/>
  <c r="I42" i="8" s="1"/>
  <c r="I53" i="8"/>
  <c r="M101" i="8"/>
  <c r="J26" i="8" s="1"/>
  <c r="J36" i="8" s="1"/>
  <c r="J41" i="8"/>
  <c r="J53" i="8"/>
  <c r="L101" i="8"/>
  <c r="I26" i="8" s="1"/>
  <c r="K101" i="8"/>
  <c r="H26" i="8" s="1"/>
  <c r="H53" i="8"/>
  <c r="J56" i="8" l="1"/>
  <c r="J54" i="8"/>
  <c r="J55" i="8"/>
  <c r="I56" i="8"/>
  <c r="I54" i="8"/>
  <c r="I55" i="8"/>
  <c r="H56" i="8"/>
  <c r="H54" i="8"/>
  <c r="H55" i="8"/>
  <c r="I49" i="8"/>
  <c r="N42" i="8" s="1"/>
  <c r="I43" i="8"/>
  <c r="I44" i="8"/>
  <c r="H42" i="8"/>
  <c r="H43" i="8"/>
  <c r="H44" i="8"/>
  <c r="J44" i="8"/>
  <c r="J43" i="8"/>
  <c r="J42" i="8"/>
  <c r="J12" i="8"/>
  <c r="J13" i="8" s="1"/>
  <c r="I12" i="8"/>
  <c r="I13" i="8" s="1"/>
  <c r="H12" i="8"/>
  <c r="H13" i="8" s="1"/>
  <c r="N49" i="8"/>
  <c r="H49" i="8"/>
  <c r="J61" i="8"/>
  <c r="I61" i="8"/>
  <c r="N53" i="8" s="1"/>
  <c r="J49" i="8"/>
  <c r="J35" i="8"/>
  <c r="J34" i="8" s="1"/>
  <c r="H61" i="8"/>
  <c r="M53" i="8" s="1"/>
  <c r="J28" i="8"/>
  <c r="J33" i="8"/>
  <c r="I36" i="8"/>
  <c r="I35" i="8"/>
  <c r="I34" i="8" s="1"/>
  <c r="I28" i="8"/>
  <c r="I29" i="8"/>
  <c r="I33" i="8"/>
  <c r="I32" i="8" s="1"/>
  <c r="I31" i="8" s="1"/>
  <c r="J29" i="8"/>
  <c r="J27" i="8" s="1"/>
  <c r="J32" i="8"/>
  <c r="J31" i="8" s="1"/>
  <c r="H29" i="8"/>
  <c r="H35" i="8"/>
  <c r="H34" i="8" s="1"/>
  <c r="H28" i="8"/>
  <c r="H36" i="8"/>
  <c r="H33" i="8"/>
  <c r="H32" i="8"/>
  <c r="H31" i="8" s="1"/>
  <c r="Q41" i="1"/>
  <c r="Q40" i="1"/>
  <c r="O41" i="1"/>
  <c r="O40" i="1"/>
  <c r="M41" i="1"/>
  <c r="M40" i="1"/>
  <c r="R20" i="1"/>
  <c r="R21" i="1"/>
  <c r="R22" i="1"/>
  <c r="R23" i="1"/>
  <c r="R24" i="1"/>
  <c r="R25" i="1"/>
  <c r="R26" i="1"/>
  <c r="R28" i="1"/>
  <c r="R29" i="1"/>
  <c r="R30" i="1"/>
  <c r="R31" i="1"/>
  <c r="R32" i="1"/>
  <c r="R33" i="1"/>
  <c r="R34" i="1"/>
  <c r="P20" i="1"/>
  <c r="P21" i="1"/>
  <c r="P22" i="1"/>
  <c r="P23" i="1"/>
  <c r="P24" i="1"/>
  <c r="P25" i="1"/>
  <c r="P26" i="1"/>
  <c r="P28" i="1"/>
  <c r="P29" i="1"/>
  <c r="P30" i="1"/>
  <c r="P31" i="1"/>
  <c r="P32" i="1"/>
  <c r="P33" i="1"/>
  <c r="P34" i="1"/>
  <c r="N20" i="1"/>
  <c r="N21" i="1"/>
  <c r="N22" i="1"/>
  <c r="N23" i="1"/>
  <c r="N24" i="1"/>
  <c r="N25" i="1"/>
  <c r="N26" i="1"/>
  <c r="N28" i="1"/>
  <c r="N29" i="1"/>
  <c r="N30" i="1"/>
  <c r="N31" i="1"/>
  <c r="N32" i="1"/>
  <c r="N33" i="1"/>
  <c r="N34" i="1"/>
  <c r="Q27" i="1"/>
  <c r="Q19" i="1"/>
  <c r="O27" i="1"/>
  <c r="O19" i="1"/>
  <c r="M27" i="1"/>
  <c r="M19" i="1"/>
  <c r="R13" i="1"/>
  <c r="R12" i="1"/>
  <c r="P13" i="1"/>
  <c r="P12" i="1"/>
  <c r="N13" i="1"/>
  <c r="N12" i="1"/>
  <c r="Q11" i="1"/>
  <c r="O11" i="1"/>
  <c r="M11" i="1"/>
  <c r="N43" i="8" l="1"/>
  <c r="I51" i="8"/>
  <c r="N51" i="8" s="1"/>
  <c r="N46" i="8"/>
  <c r="J17" i="8"/>
  <c r="N44" i="8"/>
  <c r="N48" i="8"/>
  <c r="J22" i="8"/>
  <c r="O54" i="8"/>
  <c r="N41" i="8"/>
  <c r="N45" i="8"/>
  <c r="N47" i="8"/>
  <c r="N50" i="8"/>
  <c r="N54" i="8"/>
  <c r="M54" i="8"/>
  <c r="M42" i="8"/>
  <c r="H20" i="8"/>
  <c r="H17" i="8"/>
  <c r="I17" i="8"/>
  <c r="H22" i="8"/>
  <c r="J20" i="8"/>
  <c r="I22" i="8"/>
  <c r="I20" i="8"/>
  <c r="M43" i="8"/>
  <c r="O44" i="8"/>
  <c r="O49" i="8"/>
  <c r="O48" i="8"/>
  <c r="O46" i="8"/>
  <c r="O50" i="8"/>
  <c r="O45" i="8"/>
  <c r="O47" i="8"/>
  <c r="M49" i="8"/>
  <c r="M45" i="8"/>
  <c r="M46" i="8"/>
  <c r="M48" i="8"/>
  <c r="M50" i="8"/>
  <c r="M47" i="8"/>
  <c r="M41" i="8"/>
  <c r="O43" i="8"/>
  <c r="J30" i="8"/>
  <c r="N61" i="8"/>
  <c r="N60" i="8"/>
  <c r="N62" i="8"/>
  <c r="N58" i="8"/>
  <c r="N57" i="8"/>
  <c r="N59" i="8"/>
  <c r="M44" i="8"/>
  <c r="O42" i="8"/>
  <c r="O61" i="8"/>
  <c r="O58" i="8"/>
  <c r="O62" i="8"/>
  <c r="O60" i="8"/>
  <c r="O57" i="8"/>
  <c r="O59" i="8"/>
  <c r="O53" i="8"/>
  <c r="M61" i="8"/>
  <c r="M62" i="8"/>
  <c r="M58" i="8"/>
  <c r="M57" i="8"/>
  <c r="M60" i="8"/>
  <c r="M59" i="8"/>
  <c r="O41" i="8"/>
  <c r="I63" i="8"/>
  <c r="N63" i="8" s="1"/>
  <c r="J63" i="8"/>
  <c r="O63" i="8" s="1"/>
  <c r="J51" i="8"/>
  <c r="O51" i="8" s="1"/>
  <c r="H51" i="8"/>
  <c r="M51" i="8" s="1"/>
  <c r="H63" i="8"/>
  <c r="M63" i="8" s="1"/>
  <c r="I30" i="8"/>
  <c r="I27" i="8"/>
  <c r="H27" i="8"/>
  <c r="H30" i="8"/>
  <c r="Q42" i="1"/>
  <c r="O42" i="1"/>
  <c r="M42" i="1"/>
  <c r="K62" i="1"/>
  <c r="I62" i="1"/>
  <c r="H62" i="1"/>
  <c r="G62" i="1"/>
  <c r="F62" i="1"/>
  <c r="E62" i="1"/>
  <c r="D62" i="1"/>
  <c r="R62" i="1" l="1"/>
  <c r="P62" i="1"/>
  <c r="N62" i="1"/>
  <c r="Q85" i="1"/>
  <c r="O85" i="1"/>
  <c r="M85" i="1"/>
  <c r="I117" i="1" l="1"/>
  <c r="H117" i="1"/>
  <c r="G117" i="1"/>
  <c r="F117" i="1"/>
  <c r="E117" i="1"/>
  <c r="D117" i="1"/>
  <c r="I116" i="1"/>
  <c r="H116" i="1"/>
  <c r="G116" i="1"/>
  <c r="F116" i="1"/>
  <c r="E116" i="1"/>
  <c r="D116" i="1"/>
  <c r="D40" i="1" l="1"/>
  <c r="D91" i="1" s="1"/>
  <c r="E40" i="1"/>
  <c r="E91" i="1" s="1"/>
  <c r="F40" i="1"/>
  <c r="G40" i="1"/>
  <c r="G91" i="1" s="1"/>
  <c r="H40" i="1"/>
  <c r="H91" i="1" s="1"/>
  <c r="I40" i="1"/>
  <c r="I91" i="1" s="1"/>
  <c r="D41" i="1"/>
  <c r="E41" i="1"/>
  <c r="F41" i="1"/>
  <c r="G41" i="1"/>
  <c r="H41" i="1"/>
  <c r="K40" i="1"/>
  <c r="K41" i="1"/>
  <c r="P41" i="1" l="1"/>
  <c r="R41" i="1"/>
  <c r="N41" i="1"/>
  <c r="N40" i="1"/>
  <c r="P40" i="1"/>
  <c r="R40" i="1"/>
  <c r="F91" i="1"/>
  <c r="J28" i="1"/>
  <c r="J29" i="1"/>
  <c r="J30" i="1"/>
  <c r="J31" i="1"/>
  <c r="J32" i="1"/>
  <c r="J33" i="1"/>
  <c r="J34" i="1"/>
  <c r="J20" i="1"/>
  <c r="J21" i="1"/>
  <c r="J22" i="1"/>
  <c r="J23" i="1"/>
  <c r="J24" i="1"/>
  <c r="J25" i="1"/>
  <c r="J26" i="1"/>
  <c r="F27" i="1" l="1"/>
  <c r="G27" i="1"/>
  <c r="H27" i="1"/>
  <c r="I27" i="1"/>
  <c r="R27" i="1" l="1"/>
  <c r="N27" i="1"/>
  <c r="P27" i="1"/>
  <c r="F70" i="8"/>
  <c r="F71" i="8"/>
  <c r="F72" i="8"/>
  <c r="G151" i="10" l="1"/>
  <c r="D151" i="10"/>
  <c r="D153" i="10" s="1"/>
  <c r="D147" i="10"/>
  <c r="D146" i="10"/>
  <c r="D145" i="10"/>
  <c r="D138" i="10"/>
  <c r="D59" i="10"/>
  <c r="K64" i="1"/>
  <c r="I64" i="1"/>
  <c r="I92" i="1" s="1"/>
  <c r="H64" i="1"/>
  <c r="H92" i="1" s="1"/>
  <c r="G64" i="1"/>
  <c r="G92" i="1" s="1"/>
  <c r="F64" i="1"/>
  <c r="E64" i="1"/>
  <c r="E92" i="1" s="1"/>
  <c r="D64" i="1"/>
  <c r="D92" i="1" s="1"/>
  <c r="K63" i="1"/>
  <c r="I63" i="1"/>
  <c r="H63" i="1"/>
  <c r="G63" i="1"/>
  <c r="F63" i="1"/>
  <c r="E63" i="1"/>
  <c r="D63" i="1"/>
  <c r="R64" i="1" l="1"/>
  <c r="P64" i="1"/>
  <c r="N64" i="1"/>
  <c r="F92" i="1"/>
  <c r="P63" i="1"/>
  <c r="N63" i="1"/>
  <c r="R63" i="1"/>
  <c r="F75" i="8"/>
  <c r="F74" i="8"/>
  <c r="F73" i="8" l="1"/>
  <c r="G83" i="8"/>
  <c r="J151" i="10" l="1"/>
  <c r="J153" i="10" s="1"/>
  <c r="I151" i="10"/>
  <c r="I153" i="10" s="1"/>
  <c r="H151" i="10"/>
  <c r="H153" i="10" s="1"/>
  <c r="G153" i="10"/>
  <c r="F151" i="10"/>
  <c r="E151" i="10"/>
  <c r="E153" i="10" s="1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K138" i="10"/>
  <c r="I138" i="10"/>
  <c r="H138" i="10"/>
  <c r="G138" i="10"/>
  <c r="F138" i="10"/>
  <c r="E138" i="10"/>
  <c r="K59" i="10"/>
  <c r="I59" i="10"/>
  <c r="H59" i="10"/>
  <c r="G59" i="10"/>
  <c r="F59" i="10"/>
  <c r="E59" i="10"/>
  <c r="D144" i="10"/>
  <c r="L97" i="10"/>
  <c r="J97" i="10"/>
  <c r="L96" i="10"/>
  <c r="J96" i="10"/>
  <c r="L95" i="10"/>
  <c r="J95" i="10"/>
  <c r="L40" i="10"/>
  <c r="J40" i="10"/>
  <c r="L39" i="10"/>
  <c r="J39" i="10"/>
  <c r="L38" i="10"/>
  <c r="J38" i="10"/>
  <c r="F153" i="10"/>
  <c r="L137" i="10"/>
  <c r="J137" i="10"/>
  <c r="L136" i="10"/>
  <c r="J136" i="10"/>
  <c r="J135" i="10"/>
  <c r="J134" i="10"/>
  <c r="L133" i="10"/>
  <c r="J133" i="10"/>
  <c r="L132" i="10"/>
  <c r="J132" i="10"/>
  <c r="L131" i="10"/>
  <c r="J131" i="10"/>
  <c r="L130" i="10"/>
  <c r="J130" i="10"/>
  <c r="L129" i="10"/>
  <c r="J129" i="10"/>
  <c r="L128" i="10"/>
  <c r="J128" i="10"/>
  <c r="L113" i="10"/>
  <c r="J113" i="10"/>
  <c r="L112" i="10"/>
  <c r="J112" i="10"/>
  <c r="L111" i="10"/>
  <c r="J111" i="10"/>
  <c r="L126" i="10"/>
  <c r="J126" i="10"/>
  <c r="L125" i="10"/>
  <c r="J125" i="10"/>
  <c r="L124" i="10"/>
  <c r="J124" i="10"/>
  <c r="L123" i="10"/>
  <c r="J123" i="10"/>
  <c r="L122" i="10"/>
  <c r="J122" i="10"/>
  <c r="L121" i="10"/>
  <c r="J121" i="10"/>
  <c r="L120" i="10"/>
  <c r="J120" i="10"/>
  <c r="L119" i="10"/>
  <c r="J119" i="10"/>
  <c r="L118" i="10"/>
  <c r="J118" i="10"/>
  <c r="L117" i="10"/>
  <c r="J117" i="10"/>
  <c r="L116" i="10"/>
  <c r="J116" i="10"/>
  <c r="L115" i="10"/>
  <c r="J115" i="10"/>
  <c r="L114" i="10"/>
  <c r="J114" i="10"/>
  <c r="L110" i="10"/>
  <c r="J110" i="10"/>
  <c r="L109" i="10"/>
  <c r="J109" i="10"/>
  <c r="L108" i="10"/>
  <c r="J108" i="10"/>
  <c r="L107" i="10"/>
  <c r="J107" i="10"/>
  <c r="L105" i="10"/>
  <c r="J105" i="10"/>
  <c r="L104" i="10"/>
  <c r="J104" i="10"/>
  <c r="L103" i="10"/>
  <c r="J103" i="10"/>
  <c r="L102" i="10"/>
  <c r="J102" i="10"/>
  <c r="L101" i="10"/>
  <c r="J101" i="10"/>
  <c r="L100" i="10"/>
  <c r="J100" i="10"/>
  <c r="L99" i="10"/>
  <c r="J99" i="10"/>
  <c r="L98" i="10"/>
  <c r="J98" i="10"/>
  <c r="L94" i="10"/>
  <c r="J94" i="10"/>
  <c r="L93" i="10"/>
  <c r="J93" i="10"/>
  <c r="L92" i="10"/>
  <c r="J92" i="10"/>
  <c r="L91" i="10"/>
  <c r="J91" i="10"/>
  <c r="L90" i="10"/>
  <c r="J90" i="10"/>
  <c r="L89" i="10"/>
  <c r="J89" i="10"/>
  <c r="L88" i="10"/>
  <c r="J88" i="10"/>
  <c r="L87" i="10"/>
  <c r="J87" i="10"/>
  <c r="L86" i="10"/>
  <c r="J86" i="10"/>
  <c r="L85" i="10"/>
  <c r="J85" i="10"/>
  <c r="L84" i="10"/>
  <c r="J84" i="10"/>
  <c r="L83" i="10"/>
  <c r="J83" i="10"/>
  <c r="L82" i="10"/>
  <c r="J82" i="10"/>
  <c r="L81" i="10"/>
  <c r="J81" i="10"/>
  <c r="L80" i="10"/>
  <c r="J80" i="10"/>
  <c r="L79" i="10"/>
  <c r="J79" i="10"/>
  <c r="L78" i="10"/>
  <c r="J78" i="10"/>
  <c r="L77" i="10"/>
  <c r="J77" i="10"/>
  <c r="L76" i="10"/>
  <c r="J76" i="10"/>
  <c r="L75" i="10"/>
  <c r="J75" i="10"/>
  <c r="L74" i="10"/>
  <c r="J74" i="10"/>
  <c r="L73" i="10"/>
  <c r="J73" i="10"/>
  <c r="L72" i="10"/>
  <c r="J72" i="10"/>
  <c r="L71" i="10"/>
  <c r="J71" i="10"/>
  <c r="L70" i="10"/>
  <c r="J70" i="10"/>
  <c r="L69" i="10"/>
  <c r="J69" i="10"/>
  <c r="L68" i="10"/>
  <c r="J68" i="10"/>
  <c r="L67" i="10"/>
  <c r="J67" i="10"/>
  <c r="L66" i="10"/>
  <c r="J66" i="10"/>
  <c r="L58" i="10"/>
  <c r="J58" i="10"/>
  <c r="L57" i="10"/>
  <c r="J57" i="10"/>
  <c r="L56" i="10"/>
  <c r="J56" i="10"/>
  <c r="L55" i="10"/>
  <c r="J55" i="10"/>
  <c r="L54" i="10"/>
  <c r="J54" i="10"/>
  <c r="L53" i="10"/>
  <c r="J53" i="10"/>
  <c r="L52" i="10"/>
  <c r="J52" i="10"/>
  <c r="L51" i="10"/>
  <c r="J51" i="10"/>
  <c r="L50" i="10"/>
  <c r="J50" i="10"/>
  <c r="L48" i="10"/>
  <c r="J48" i="10"/>
  <c r="L47" i="10"/>
  <c r="J47" i="10"/>
  <c r="L46" i="10"/>
  <c r="J46" i="10"/>
  <c r="L45" i="10"/>
  <c r="J45" i="10"/>
  <c r="L44" i="10"/>
  <c r="J44" i="10"/>
  <c r="L43" i="10"/>
  <c r="J43" i="10"/>
  <c r="L42" i="10"/>
  <c r="J42" i="10"/>
  <c r="L41" i="10"/>
  <c r="J41" i="10"/>
  <c r="L37" i="10"/>
  <c r="J37" i="10"/>
  <c r="L36" i="10"/>
  <c r="J36" i="10"/>
  <c r="L35" i="10"/>
  <c r="J35" i="10"/>
  <c r="L34" i="10"/>
  <c r="J34" i="10"/>
  <c r="L33" i="10"/>
  <c r="J33" i="10"/>
  <c r="L32" i="10"/>
  <c r="J32" i="10"/>
  <c r="L31" i="10"/>
  <c r="J31" i="10"/>
  <c r="L30" i="10"/>
  <c r="J30" i="10"/>
  <c r="L29" i="10"/>
  <c r="J29" i="10"/>
  <c r="L28" i="10"/>
  <c r="J28" i="10"/>
  <c r="L27" i="10"/>
  <c r="J27" i="10"/>
  <c r="L24" i="10"/>
  <c r="J24" i="10"/>
  <c r="L23" i="10"/>
  <c r="J23" i="10"/>
  <c r="L22" i="10"/>
  <c r="J22" i="10"/>
  <c r="L21" i="10"/>
  <c r="J21" i="10"/>
  <c r="L20" i="10"/>
  <c r="J20" i="10"/>
  <c r="L19" i="10"/>
  <c r="J19" i="10"/>
  <c r="L18" i="10"/>
  <c r="J18" i="10"/>
  <c r="L17" i="10"/>
  <c r="J17" i="10"/>
  <c r="L16" i="10"/>
  <c r="J16" i="10"/>
  <c r="L15" i="10"/>
  <c r="J15" i="10"/>
  <c r="L14" i="10"/>
  <c r="J14" i="10"/>
  <c r="N138" i="10" l="1"/>
  <c r="P138" i="10"/>
  <c r="R138" i="10"/>
  <c r="P59" i="10"/>
  <c r="R59" i="10"/>
  <c r="N59" i="10"/>
  <c r="F144" i="10"/>
  <c r="I144" i="10"/>
  <c r="I69" i="8" s="1"/>
  <c r="H144" i="10"/>
  <c r="H69" i="8" s="1"/>
  <c r="E144" i="10"/>
  <c r="L59" i="10"/>
  <c r="L138" i="10"/>
  <c r="J59" i="10"/>
  <c r="J144" i="10"/>
  <c r="J138" i="10"/>
  <c r="G144" i="10"/>
  <c r="G69" i="8" s="1"/>
  <c r="G133" i="8"/>
  <c r="J187" i="8"/>
  <c r="I187" i="8"/>
  <c r="H187" i="8"/>
  <c r="G187" i="8"/>
  <c r="J69" i="8" l="1"/>
  <c r="O55" i="8"/>
  <c r="N56" i="8"/>
  <c r="O56" i="8"/>
  <c r="M55" i="8"/>
  <c r="M56" i="8"/>
  <c r="N55" i="8"/>
  <c r="F69" i="8"/>
  <c r="G189" i="8"/>
  <c r="G188" i="8"/>
  <c r="F186" i="8"/>
  <c r="G109" i="8" l="1"/>
  <c r="G107" i="8"/>
  <c r="J109" i="8"/>
  <c r="I109" i="8"/>
  <c r="H109" i="8"/>
  <c r="G95" i="8" l="1"/>
  <c r="G96" i="8"/>
  <c r="G160" i="8"/>
  <c r="G16" i="8"/>
  <c r="F16" i="8"/>
  <c r="G94" i="8" l="1"/>
  <c r="J107" i="8" l="1"/>
  <c r="J96" i="8" s="1"/>
  <c r="J94" i="8" s="1"/>
  <c r="I107" i="8"/>
  <c r="H107" i="8"/>
  <c r="J194" i="8"/>
  <c r="I194" i="8"/>
  <c r="H194" i="8"/>
  <c r="G194" i="8"/>
  <c r="J189" i="8"/>
  <c r="I189" i="8"/>
  <c r="J188" i="8"/>
  <c r="G48" i="8" s="1"/>
  <c r="I188" i="8"/>
  <c r="H188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J133" i="8"/>
  <c r="I133" i="8"/>
  <c r="H133" i="8"/>
  <c r="F132" i="8"/>
  <c r="F131" i="8"/>
  <c r="F130" i="8"/>
  <c r="F129" i="8"/>
  <c r="F128" i="8"/>
  <c r="F127" i="8"/>
  <c r="F126" i="8"/>
  <c r="F125" i="8"/>
  <c r="F124" i="8"/>
  <c r="F111" i="8"/>
  <c r="F110" i="8"/>
  <c r="F108" i="8"/>
  <c r="F98" i="8"/>
  <c r="J83" i="8"/>
  <c r="J80" i="8" s="1"/>
  <c r="I83" i="8"/>
  <c r="I80" i="8" s="1"/>
  <c r="H83" i="8"/>
  <c r="H80" i="8" s="1"/>
  <c r="G80" i="8"/>
  <c r="F82" i="8"/>
  <c r="F79" i="8"/>
  <c r="F76" i="8"/>
  <c r="H96" i="8" l="1"/>
  <c r="H95" i="8"/>
  <c r="I95" i="8"/>
  <c r="I96" i="8"/>
  <c r="G60" i="8"/>
  <c r="F187" i="8"/>
  <c r="I122" i="8"/>
  <c r="H122" i="8"/>
  <c r="H119" i="8"/>
  <c r="G50" i="8"/>
  <c r="G57" i="8"/>
  <c r="H120" i="8"/>
  <c r="H115" i="8"/>
  <c r="F109" i="8"/>
  <c r="G46" i="8"/>
  <c r="H116" i="8"/>
  <c r="H135" i="8"/>
  <c r="F188" i="8"/>
  <c r="F50" i="8" s="1"/>
  <c r="G58" i="8"/>
  <c r="H113" i="8"/>
  <c r="H117" i="8"/>
  <c r="H121" i="8"/>
  <c r="I135" i="8"/>
  <c r="H114" i="8"/>
  <c r="H118" i="8"/>
  <c r="F133" i="8"/>
  <c r="I113" i="8"/>
  <c r="I116" i="8"/>
  <c r="I118" i="8"/>
  <c r="I120" i="8"/>
  <c r="I114" i="8"/>
  <c r="G62" i="8"/>
  <c r="F84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H137" i="8"/>
  <c r="H139" i="8"/>
  <c r="H141" i="8"/>
  <c r="H143" i="8"/>
  <c r="H145" i="8"/>
  <c r="H147" i="8"/>
  <c r="H149" i="8"/>
  <c r="H151" i="8"/>
  <c r="H153" i="8"/>
  <c r="H155" i="8"/>
  <c r="H157" i="8"/>
  <c r="H159" i="8"/>
  <c r="H136" i="8"/>
  <c r="H138" i="8"/>
  <c r="H140" i="8"/>
  <c r="H142" i="8"/>
  <c r="H144" i="8"/>
  <c r="H146" i="8"/>
  <c r="H148" i="8"/>
  <c r="H150" i="8"/>
  <c r="H152" i="8"/>
  <c r="H154" i="8"/>
  <c r="H156" i="8"/>
  <c r="H158" i="8"/>
  <c r="H160" i="8"/>
  <c r="J121" i="8"/>
  <c r="G137" i="8"/>
  <c r="G143" i="8"/>
  <c r="G146" i="8"/>
  <c r="G148" i="8"/>
  <c r="G150" i="8"/>
  <c r="G152" i="8"/>
  <c r="G154" i="8"/>
  <c r="G156" i="8"/>
  <c r="G158" i="8"/>
  <c r="G136" i="8"/>
  <c r="G138" i="8"/>
  <c r="G139" i="8"/>
  <c r="G140" i="8"/>
  <c r="G141" i="8"/>
  <c r="G142" i="8"/>
  <c r="G144" i="8"/>
  <c r="G145" i="8"/>
  <c r="G147" i="8"/>
  <c r="G149" i="8"/>
  <c r="G151" i="8"/>
  <c r="G153" i="8"/>
  <c r="G155" i="8"/>
  <c r="G157" i="8"/>
  <c r="G159" i="8"/>
  <c r="J113" i="8"/>
  <c r="I115" i="8"/>
  <c r="I117" i="8"/>
  <c r="I119" i="8"/>
  <c r="I121" i="8"/>
  <c r="J117" i="8"/>
  <c r="J120" i="8"/>
  <c r="J116" i="8"/>
  <c r="J115" i="8"/>
  <c r="J119" i="8"/>
  <c r="J114" i="8"/>
  <c r="J118" i="8"/>
  <c r="J122" i="8"/>
  <c r="J135" i="8"/>
  <c r="F107" i="8"/>
  <c r="F135" i="8" s="1"/>
  <c r="G116" i="8"/>
  <c r="G120" i="8"/>
  <c r="F80" i="8"/>
  <c r="F83" i="8"/>
  <c r="G114" i="8"/>
  <c r="G118" i="8"/>
  <c r="G122" i="8"/>
  <c r="G45" i="8"/>
  <c r="G115" i="8"/>
  <c r="G119" i="8"/>
  <c r="H189" i="8"/>
  <c r="F189" i="8" s="1"/>
  <c r="G113" i="8"/>
  <c r="G117" i="8"/>
  <c r="G121" i="8"/>
  <c r="G135" i="8"/>
  <c r="H94" i="8" l="1"/>
  <c r="I94" i="8"/>
  <c r="J97" i="8"/>
  <c r="J93" i="8" s="1"/>
  <c r="H97" i="8"/>
  <c r="I97" i="8"/>
  <c r="G97" i="8"/>
  <c r="G93" i="8" s="1"/>
  <c r="F46" i="8"/>
  <c r="F118" i="8"/>
  <c r="F120" i="8"/>
  <c r="F48" i="8"/>
  <c r="F119" i="8"/>
  <c r="F116" i="8"/>
  <c r="F117" i="8"/>
  <c r="F121" i="8"/>
  <c r="F113" i="8"/>
  <c r="F139" i="8"/>
  <c r="F143" i="8"/>
  <c r="F147" i="8"/>
  <c r="F151" i="8"/>
  <c r="F155" i="8"/>
  <c r="F159" i="8"/>
  <c r="F158" i="8"/>
  <c r="F137" i="8"/>
  <c r="F145" i="8"/>
  <c r="F149" i="8"/>
  <c r="F157" i="8"/>
  <c r="F140" i="8"/>
  <c r="F152" i="8"/>
  <c r="F160" i="8"/>
  <c r="F138" i="8"/>
  <c r="F142" i="8"/>
  <c r="F146" i="8"/>
  <c r="F150" i="8"/>
  <c r="F154" i="8"/>
  <c r="F141" i="8"/>
  <c r="F153" i="8"/>
  <c r="F136" i="8"/>
  <c r="F144" i="8"/>
  <c r="F148" i="8"/>
  <c r="F156" i="8"/>
  <c r="F45" i="8"/>
  <c r="F122" i="8"/>
  <c r="F114" i="8"/>
  <c r="F115" i="8"/>
  <c r="F62" i="8"/>
  <c r="F60" i="8"/>
  <c r="F58" i="8"/>
  <c r="F57" i="8"/>
  <c r="I93" i="8" l="1"/>
  <c r="H93" i="8"/>
  <c r="I161" i="1"/>
  <c r="I160" i="1"/>
  <c r="I159" i="1"/>
  <c r="I158" i="1"/>
  <c r="I157" i="1"/>
  <c r="I156" i="1"/>
  <c r="I155" i="1"/>
  <c r="I154" i="1"/>
  <c r="I153" i="1"/>
  <c r="I152" i="1"/>
  <c r="I151" i="1"/>
  <c r="G161" i="1"/>
  <c r="G160" i="1"/>
  <c r="G159" i="1"/>
  <c r="G158" i="1"/>
  <c r="G157" i="1"/>
  <c r="G156" i="1"/>
  <c r="G155" i="1"/>
  <c r="G154" i="1"/>
  <c r="G153" i="1"/>
  <c r="G152" i="1"/>
  <c r="G151" i="1"/>
  <c r="E161" i="1"/>
  <c r="E160" i="1"/>
  <c r="E159" i="1"/>
  <c r="E158" i="1"/>
  <c r="E157" i="1"/>
  <c r="E156" i="1"/>
  <c r="E155" i="1"/>
  <c r="E154" i="1"/>
  <c r="E153" i="1"/>
  <c r="E152" i="1"/>
  <c r="E151" i="1"/>
  <c r="H144" i="1"/>
  <c r="G144" i="1"/>
  <c r="L13" i="1"/>
  <c r="L12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J13" i="1"/>
  <c r="J12" i="1"/>
  <c r="J63" i="1" l="1"/>
  <c r="J62" i="1"/>
  <c r="L62" i="1"/>
  <c r="L63" i="1"/>
  <c r="J64" i="1"/>
  <c r="L64" i="1"/>
  <c r="J41" i="1" l="1"/>
  <c r="J40" i="1"/>
  <c r="L41" i="1"/>
  <c r="L40" i="1"/>
  <c r="K42" i="1" l="1"/>
  <c r="I42" i="1"/>
  <c r="H42" i="1"/>
  <c r="G42" i="1"/>
  <c r="F42" i="1"/>
  <c r="E42" i="1"/>
  <c r="D42" i="1"/>
  <c r="R42" i="1" l="1"/>
  <c r="N42" i="1"/>
  <c r="P42" i="1"/>
  <c r="J42" i="1"/>
  <c r="L42" i="1"/>
  <c r="I11" i="1"/>
  <c r="H11" i="1"/>
  <c r="G11" i="1"/>
  <c r="F11" i="1"/>
  <c r="N11" i="1" s="1"/>
  <c r="E11" i="1"/>
  <c r="D11" i="1"/>
  <c r="R11" i="1" l="1"/>
  <c r="P11" i="1"/>
  <c r="J11" i="1"/>
  <c r="F65" i="1"/>
  <c r="K65" i="1"/>
  <c r="K85" i="1" s="1"/>
  <c r="I65" i="1"/>
  <c r="I85" i="1" s="1"/>
  <c r="H65" i="1"/>
  <c r="H85" i="1" s="1"/>
  <c r="G65" i="1"/>
  <c r="G85" i="1" s="1"/>
  <c r="E65" i="1"/>
  <c r="E85" i="1" s="1"/>
  <c r="D65" i="1"/>
  <c r="D85" i="1" s="1"/>
  <c r="R65" i="1" l="1"/>
  <c r="P65" i="1"/>
  <c r="N65" i="1"/>
  <c r="G68" i="8"/>
  <c r="G90" i="8" s="1"/>
  <c r="L65" i="1"/>
  <c r="F85" i="1"/>
  <c r="J65" i="1"/>
  <c r="J85" i="1" l="1"/>
  <c r="R85" i="1"/>
  <c r="N85" i="1"/>
  <c r="P85" i="1"/>
  <c r="G89" i="8"/>
  <c r="I68" i="8"/>
  <c r="I90" i="8" s="1"/>
  <c r="H68" i="8"/>
  <c r="H90" i="8" s="1"/>
  <c r="J68" i="8"/>
  <c r="J90" i="8" s="1"/>
  <c r="G88" i="8"/>
  <c r="L85" i="1"/>
  <c r="K27" i="1"/>
  <c r="K19" i="1"/>
  <c r="E27" i="1"/>
  <c r="D27" i="1"/>
  <c r="I19" i="1"/>
  <c r="H19" i="1"/>
  <c r="G19" i="1"/>
  <c r="F19" i="1"/>
  <c r="E19" i="1"/>
  <c r="D19" i="1"/>
  <c r="K11" i="1"/>
  <c r="L11" i="1" s="1"/>
  <c r="P19" i="1" l="1"/>
  <c r="N19" i="1"/>
  <c r="R19" i="1"/>
  <c r="F68" i="8"/>
  <c r="F18" i="8" s="1"/>
  <c r="F90" i="8"/>
  <c r="J27" i="1"/>
  <c r="L19" i="1"/>
  <c r="J89" i="8"/>
  <c r="I89" i="8"/>
  <c r="H89" i="8"/>
  <c r="I88" i="8"/>
  <c r="H88" i="8"/>
  <c r="J88" i="8"/>
  <c r="G18" i="8"/>
  <c r="J19" i="1"/>
  <c r="L27" i="1"/>
  <c r="F47" i="8" l="1"/>
  <c r="F59" i="8"/>
  <c r="G53" i="8"/>
  <c r="J101" i="8"/>
  <c r="G41" i="8"/>
  <c r="F88" i="8"/>
  <c r="F89" i="8"/>
  <c r="F41" i="8" s="1"/>
  <c r="G59" i="8"/>
  <c r="G47" i="8"/>
  <c r="F53" i="8" l="1"/>
  <c r="G54" i="8"/>
  <c r="G55" i="8"/>
  <c r="G56" i="8"/>
  <c r="G44" i="8"/>
  <c r="G43" i="8"/>
  <c r="G42" i="8"/>
  <c r="F44" i="8"/>
  <c r="F42" i="8"/>
  <c r="F43" i="8"/>
  <c r="F101" i="8"/>
  <c r="G12" i="8"/>
  <c r="G26" i="8"/>
  <c r="G61" i="8"/>
  <c r="G49" i="8"/>
  <c r="L54" i="8" l="1"/>
  <c r="L55" i="8"/>
  <c r="L56" i="8"/>
  <c r="L61" i="8"/>
  <c r="L58" i="8"/>
  <c r="L62" i="8"/>
  <c r="L57" i="8"/>
  <c r="L60" i="8"/>
  <c r="L50" i="8"/>
  <c r="L46" i="8"/>
  <c r="L47" i="8"/>
  <c r="L59" i="8"/>
  <c r="L41" i="8"/>
  <c r="F56" i="8"/>
  <c r="F55" i="8"/>
  <c r="F54" i="8"/>
  <c r="F12" i="8"/>
  <c r="F49" i="8"/>
  <c r="F26" i="8"/>
  <c r="F35" i="8" s="1"/>
  <c r="F34" i="8" s="1"/>
  <c r="G17" i="8"/>
  <c r="G20" i="8"/>
  <c r="G22" i="8"/>
  <c r="G13" i="8"/>
  <c r="L42" i="8"/>
  <c r="L44" i="8"/>
  <c r="L48" i="8"/>
  <c r="G51" i="8"/>
  <c r="L51" i="8" s="1"/>
  <c r="L45" i="8"/>
  <c r="L49" i="8"/>
  <c r="L43" i="8"/>
  <c r="L53" i="8"/>
  <c r="G63" i="8"/>
  <c r="L63" i="8" s="1"/>
  <c r="G33" i="8"/>
  <c r="G32" i="8" s="1"/>
  <c r="G31" i="8" s="1"/>
  <c r="G28" i="8"/>
  <c r="G35" i="8"/>
  <c r="G34" i="8" s="1"/>
  <c r="G29" i="8"/>
  <c r="G36" i="8"/>
  <c r="F13" i="8" l="1"/>
  <c r="F22" i="8"/>
  <c r="K50" i="8"/>
  <c r="K46" i="8"/>
  <c r="K45" i="8"/>
  <c r="K47" i="8"/>
  <c r="K43" i="8"/>
  <c r="F17" i="8"/>
  <c r="F20" i="8"/>
  <c r="K48" i="8"/>
  <c r="K49" i="8"/>
  <c r="K41" i="8"/>
  <c r="K42" i="8"/>
  <c r="F51" i="8"/>
  <c r="K51" i="8" s="1"/>
  <c r="K44" i="8"/>
  <c r="F61" i="8"/>
  <c r="K54" i="8" s="1"/>
  <c r="F29" i="8"/>
  <c r="F27" i="8" s="1"/>
  <c r="F28" i="8"/>
  <c r="F36" i="8"/>
  <c r="F33" i="8"/>
  <c r="F32" i="8" s="1"/>
  <c r="F31" i="8" s="1"/>
  <c r="G30" i="8"/>
  <c r="G27" i="8"/>
  <c r="K56" i="8" l="1"/>
  <c r="F63" i="8"/>
  <c r="K63" i="8" s="1"/>
  <c r="K61" i="8"/>
  <c r="K62" i="8"/>
  <c r="K57" i="8"/>
  <c r="K60" i="8"/>
  <c r="K59" i="8"/>
  <c r="K55" i="8"/>
  <c r="K58" i="8"/>
  <c r="K53" i="8"/>
  <c r="F30" i="8"/>
</calcChain>
</file>

<file path=xl/sharedStrings.xml><?xml version="1.0" encoding="utf-8"?>
<sst xmlns="http://schemas.openxmlformats.org/spreadsheetml/2006/main" count="941" uniqueCount="438">
  <si>
    <t>１．被保険者数（年度別）</t>
    <rPh sb="2" eb="6">
      <t>ヒホケンシャ</t>
    </rPh>
    <rPh sb="6" eb="7">
      <t>スウ</t>
    </rPh>
    <rPh sb="8" eb="10">
      <t>ネンド</t>
    </rPh>
    <rPh sb="10" eb="11">
      <t>ベツ</t>
    </rPh>
    <phoneticPr fontId="3"/>
  </si>
  <si>
    <t>単位：人</t>
    <rPh sb="0" eb="2">
      <t>タンイ</t>
    </rPh>
    <rPh sb="3" eb="4">
      <t>ニン</t>
    </rPh>
    <phoneticPr fontId="3"/>
  </si>
  <si>
    <t>総数</t>
    <rPh sb="0" eb="2">
      <t>ソウスウ</t>
    </rPh>
    <phoneticPr fontId="8"/>
  </si>
  <si>
    <t>第1号被保険者数</t>
    <rPh sb="0" eb="1">
      <t>ダイ</t>
    </rPh>
    <rPh sb="2" eb="3">
      <t>ゴウ</t>
    </rPh>
    <rPh sb="3" eb="7">
      <t>ヒホケンシャ</t>
    </rPh>
    <rPh sb="7" eb="8">
      <t>スウ</t>
    </rPh>
    <phoneticPr fontId="8"/>
  </si>
  <si>
    <t>第2号被保険者数</t>
    <rPh sb="0" eb="1">
      <t>ダイ</t>
    </rPh>
    <rPh sb="2" eb="3">
      <t>ゴウ</t>
    </rPh>
    <rPh sb="3" eb="7">
      <t>ヒホケンシャ</t>
    </rPh>
    <rPh sb="7" eb="8">
      <t>スウ</t>
    </rPh>
    <phoneticPr fontId="8"/>
  </si>
  <si>
    <t>２．要介護（支援）認定者数</t>
    <rPh sb="2" eb="5">
      <t>ヨウカイゴ</t>
    </rPh>
    <rPh sb="6" eb="8">
      <t>シエン</t>
    </rPh>
    <rPh sb="9" eb="11">
      <t>ニンテイ</t>
    </rPh>
    <rPh sb="11" eb="12">
      <t>シャ</t>
    </rPh>
    <rPh sb="12" eb="13">
      <t>スウ</t>
    </rPh>
    <phoneticPr fontId="3"/>
  </si>
  <si>
    <t>総数</t>
    <rPh sb="0" eb="2">
      <t>ソウスウ</t>
    </rPh>
    <phoneticPr fontId="3"/>
  </si>
  <si>
    <t>要支援1</t>
    <rPh sb="0" eb="3">
      <t>ヨウシエン</t>
    </rPh>
    <phoneticPr fontId="8"/>
  </si>
  <si>
    <t>要支援2</t>
    <rPh sb="0" eb="3">
      <t>ヨウシエン</t>
    </rPh>
    <phoneticPr fontId="8"/>
  </si>
  <si>
    <t>要介護1</t>
    <rPh sb="0" eb="3">
      <t>ヨウカイゴ</t>
    </rPh>
    <phoneticPr fontId="8"/>
  </si>
  <si>
    <t>要介護2</t>
    <rPh sb="0" eb="3">
      <t>ヨウカイゴ</t>
    </rPh>
    <phoneticPr fontId="8"/>
  </si>
  <si>
    <t>要介護3</t>
    <rPh sb="0" eb="3">
      <t>ヨウカイゴ</t>
    </rPh>
    <phoneticPr fontId="8"/>
  </si>
  <si>
    <t>要介護4</t>
    <rPh sb="0" eb="3">
      <t>ヨウカイゴ</t>
    </rPh>
    <phoneticPr fontId="8"/>
  </si>
  <si>
    <t>要介護5</t>
    <rPh sb="0" eb="3">
      <t>ヨウカイゴ</t>
    </rPh>
    <phoneticPr fontId="8"/>
  </si>
  <si>
    <t>うち第1号被保険者数</t>
    <rPh sb="2" eb="3">
      <t>ダイ</t>
    </rPh>
    <rPh sb="4" eb="5">
      <t>ゴウ</t>
    </rPh>
    <rPh sb="5" eb="9">
      <t>ヒホケンシャ</t>
    </rPh>
    <rPh sb="9" eb="10">
      <t>スウ</t>
    </rPh>
    <phoneticPr fontId="8"/>
  </si>
  <si>
    <t>３．介護予防サービス見込量</t>
    <rPh sb="2" eb="4">
      <t>カイゴ</t>
    </rPh>
    <rPh sb="4" eb="6">
      <t>ヨボウ</t>
    </rPh>
    <rPh sb="10" eb="12">
      <t>ミコミ</t>
    </rPh>
    <rPh sb="12" eb="13">
      <t>リョウ</t>
    </rPh>
    <phoneticPr fontId="3"/>
  </si>
  <si>
    <t>（１）介護予防サービス</t>
    <rPh sb="3" eb="5">
      <t>カイゴ</t>
    </rPh>
    <rPh sb="5" eb="7">
      <t>ヨボウ</t>
    </rPh>
    <phoneticPr fontId="8"/>
  </si>
  <si>
    <t>給付費（千円）</t>
    <rPh sb="0" eb="2">
      <t>キュウフ</t>
    </rPh>
    <rPh sb="2" eb="3">
      <t>ヒ</t>
    </rPh>
    <phoneticPr fontId="8"/>
  </si>
  <si>
    <t>人数（人）</t>
    <rPh sb="0" eb="2">
      <t>ニンズ</t>
    </rPh>
    <rPh sb="3" eb="4">
      <t>ニン</t>
    </rPh>
    <phoneticPr fontId="8"/>
  </si>
  <si>
    <t>介護予防訪問入浴介護</t>
    <rPh sb="4" eb="6">
      <t>ホウモン</t>
    </rPh>
    <rPh sb="6" eb="8">
      <t>ニュウヨク</t>
    </rPh>
    <rPh sb="8" eb="10">
      <t>カイゴ</t>
    </rPh>
    <phoneticPr fontId="8"/>
  </si>
  <si>
    <t>回数（回）</t>
    <rPh sb="0" eb="2">
      <t>カイスウ</t>
    </rPh>
    <rPh sb="3" eb="4">
      <t>カイ</t>
    </rPh>
    <phoneticPr fontId="8"/>
  </si>
  <si>
    <t>介護予防訪問看護</t>
    <rPh sb="4" eb="6">
      <t>ホウモン</t>
    </rPh>
    <rPh sb="6" eb="8">
      <t>カンゴ</t>
    </rPh>
    <phoneticPr fontId="8"/>
  </si>
  <si>
    <t>介護予防訪問リハビリテーション</t>
    <rPh sb="4" eb="6">
      <t>ホウモン</t>
    </rPh>
    <phoneticPr fontId="8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</si>
  <si>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8"/>
  </si>
  <si>
    <t>介護予防通所リハビリテーション</t>
    <rPh sb="4" eb="6">
      <t>ツウショ</t>
    </rPh>
    <phoneticPr fontId="8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</si>
  <si>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8"/>
  </si>
  <si>
    <t>日数（日）</t>
    <rPh sb="0" eb="2">
      <t>ニッスウ</t>
    </rPh>
    <rPh sb="3" eb="4">
      <t>ニチ</t>
    </rPh>
    <phoneticPr fontId="8"/>
  </si>
  <si>
    <t>介護予防短期入所療養介護（老健）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ロウケン</t>
    </rPh>
    <phoneticPr fontId="8"/>
  </si>
  <si>
    <t>介護予防短期入所療養介護（病院等）</t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8"/>
  </si>
  <si>
    <t>介護予防福祉用具貸与</t>
    <rPh sb="4" eb="6">
      <t>フクシ</t>
    </rPh>
    <rPh sb="6" eb="8">
      <t>ヨウグ</t>
    </rPh>
    <rPh sb="8" eb="10">
      <t>タイヨ</t>
    </rPh>
    <phoneticPr fontId="8"/>
  </si>
  <si>
    <t>特定介護予防福祉用具購入費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3">
      <t>コウニュウヒ</t>
    </rPh>
    <phoneticPr fontId="8"/>
  </si>
  <si>
    <t>介護予防住宅改修</t>
    <rPh sb="4" eb="6">
      <t>ジュウタク</t>
    </rPh>
    <rPh sb="6" eb="8">
      <t>カイシュウ</t>
    </rPh>
    <phoneticPr fontId="8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</si>
  <si>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8"/>
  </si>
  <si>
    <t>（２）地域密着型介護予防サービス</t>
    <rPh sb="3" eb="5">
      <t>チイキ</t>
    </rPh>
    <rPh sb="5" eb="8">
      <t>ミッチャクガタ</t>
    </rPh>
    <rPh sb="8" eb="10">
      <t>カイゴ</t>
    </rPh>
    <rPh sb="10" eb="12">
      <t>ヨボウ</t>
    </rPh>
    <phoneticPr fontId="8"/>
  </si>
  <si>
    <t>介護予防認知症対応型通所介護</t>
    <rPh sb="4" eb="6">
      <t>ニンチ</t>
    </rPh>
    <rPh sb="6" eb="7">
      <t>ショウ</t>
    </rPh>
    <rPh sb="7" eb="10">
      <t>タイオウガタ</t>
    </rPh>
    <rPh sb="10" eb="11">
      <t>ツウ</t>
    </rPh>
    <rPh sb="11" eb="12">
      <t>ショ</t>
    </rPh>
    <rPh sb="12" eb="14">
      <t>カイゴ</t>
    </rPh>
    <phoneticPr fontId="8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</si>
  <si>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8"/>
  </si>
  <si>
    <t>介護予防認知症対応型共同生活介護</t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8"/>
  </si>
  <si>
    <t>合計</t>
    <rPh sb="0" eb="2">
      <t>ゴウケイ</t>
    </rPh>
    <phoneticPr fontId="8"/>
  </si>
  <si>
    <t>４．介護サービス見込量</t>
    <rPh sb="2" eb="4">
      <t>カイゴ</t>
    </rPh>
    <rPh sb="8" eb="10">
      <t>ミコミ</t>
    </rPh>
    <rPh sb="10" eb="11">
      <t>リョウ</t>
    </rPh>
    <phoneticPr fontId="3"/>
  </si>
  <si>
    <t>（１）居宅サービス</t>
    <rPh sb="3" eb="5">
      <t>キョタク</t>
    </rPh>
    <phoneticPr fontId="8"/>
  </si>
  <si>
    <t>訪問介護</t>
    <rPh sb="0" eb="2">
      <t>ホウモン</t>
    </rPh>
    <rPh sb="2" eb="4">
      <t>カイゴ</t>
    </rPh>
    <phoneticPr fontId="8"/>
  </si>
  <si>
    <t>訪問入浴介護</t>
    <rPh sb="0" eb="2">
      <t>ホウモン</t>
    </rPh>
    <rPh sb="2" eb="4">
      <t>ニュウヨク</t>
    </rPh>
    <rPh sb="4" eb="6">
      <t>カイゴ</t>
    </rPh>
    <phoneticPr fontId="8"/>
  </si>
  <si>
    <t>訪問看護</t>
    <rPh sb="0" eb="2">
      <t>ホウモン</t>
    </rPh>
    <rPh sb="2" eb="4">
      <t>カンゴ</t>
    </rPh>
    <phoneticPr fontId="8"/>
  </si>
  <si>
    <t>訪問リハビリテーション</t>
    <rPh sb="0" eb="2">
      <t>ホウモン</t>
    </rPh>
    <phoneticPr fontId="8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</si>
  <si>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8"/>
  </si>
  <si>
    <t>通所介護</t>
    <rPh sb="0" eb="2">
      <t>ツウショ</t>
    </rPh>
    <rPh sb="2" eb="4">
      <t>カイゴ</t>
    </rPh>
    <phoneticPr fontId="8"/>
  </si>
  <si>
    <t>通所リハビリテーション</t>
    <rPh sb="0" eb="2">
      <t>ツウショ</t>
    </rPh>
    <phoneticPr fontId="8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</si>
  <si>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8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</si>
  <si>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ロウケン</t>
    </rPh>
    <phoneticPr fontId="8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</si>
  <si>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8"/>
  </si>
  <si>
    <t>福祉用具貸与</t>
    <rPh sb="0" eb="2">
      <t>フクシ</t>
    </rPh>
    <rPh sb="2" eb="4">
      <t>ヨウグ</t>
    </rPh>
    <rPh sb="4" eb="6">
      <t>タイヨ</t>
    </rPh>
    <phoneticPr fontId="8"/>
  </si>
  <si>
    <t>特定福祉用具購入費</t>
    <rPh sb="0" eb="2">
      <t>トクテイ</t>
    </rPh>
    <rPh sb="2" eb="4">
      <t>フクシ</t>
    </rPh>
    <rPh sb="4" eb="6">
      <t>ヨウグ</t>
    </rPh>
    <rPh sb="6" eb="9">
      <t>コウニュウヒ</t>
    </rPh>
    <phoneticPr fontId="8"/>
  </si>
  <si>
    <t>住宅改修費</t>
    <rPh sb="0" eb="2">
      <t>ジュウタク</t>
    </rPh>
    <rPh sb="2" eb="5">
      <t>カイシュウヒ</t>
    </rPh>
    <phoneticPr fontId="8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</si>
  <si>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8"/>
  </si>
  <si>
    <t>（２）地域密着型サービス</t>
    <rPh sb="3" eb="5">
      <t>チイキ</t>
    </rPh>
    <rPh sb="5" eb="8">
      <t>ミッチャクガタ</t>
    </rPh>
    <phoneticPr fontId="8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</si>
  <si>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8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</si>
  <si>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8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</si>
  <si>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8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</si>
  <si>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8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</si>
  <si>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8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</si>
  <si>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8"/>
  </si>
  <si>
    <t>地域密着型介護老人福祉施設入所者生活介護</t>
  </si>
  <si>
    <t>（３）施設サービス</t>
    <rPh sb="3" eb="5">
      <t>シセツ</t>
    </rPh>
    <phoneticPr fontId="8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</si>
  <si>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8"/>
  </si>
  <si>
    <t>単位：千円</t>
    <rPh sb="3" eb="4">
      <t>セン</t>
    </rPh>
    <phoneticPr fontId="3"/>
  </si>
  <si>
    <t>総給付費</t>
    <rPh sb="0" eb="1">
      <t>ソウ</t>
    </rPh>
    <rPh sb="1" eb="3">
      <t>キュウフ</t>
    </rPh>
    <rPh sb="3" eb="4">
      <t>ヒ</t>
    </rPh>
    <phoneticPr fontId="8"/>
  </si>
  <si>
    <t>介護老人保健施設</t>
  </si>
  <si>
    <t>（４）居宅介護支援</t>
  </si>
  <si>
    <t>平成30年度</t>
    <rPh sb="0" eb="2">
      <t>ヘイセイ</t>
    </rPh>
    <rPh sb="4" eb="6">
      <t>ネンド</t>
    </rPh>
    <phoneticPr fontId="8"/>
  </si>
  <si>
    <t>保険者名</t>
    <rPh sb="0" eb="3">
      <t>ホケンシャ</t>
    </rPh>
    <rPh sb="3" eb="4">
      <t>メイ</t>
    </rPh>
    <phoneticPr fontId="3"/>
  </si>
  <si>
    <t>保険者番号</t>
    <rPh sb="0" eb="3">
      <t>ホケンシャ</t>
    </rPh>
    <rPh sb="3" eb="5">
      <t>バンゴウ</t>
    </rPh>
    <phoneticPr fontId="3"/>
  </si>
  <si>
    <t>単位：千円</t>
    <rPh sb="0" eb="2">
      <t>タンイ</t>
    </rPh>
    <phoneticPr fontId="3"/>
  </si>
  <si>
    <t>在宅サービス</t>
    <rPh sb="0" eb="2">
      <t>ザイタク</t>
    </rPh>
    <phoneticPr fontId="8"/>
  </si>
  <si>
    <t>施設サービス</t>
    <rPh sb="0" eb="2">
      <t>シセツ</t>
    </rPh>
    <phoneticPr fontId="8"/>
  </si>
  <si>
    <t>（１）推計値サマリ</t>
    <rPh sb="3" eb="6">
      <t>スイケイチ</t>
    </rPh>
    <phoneticPr fontId="3"/>
  </si>
  <si>
    <t>（２）サービス別給付費</t>
    <rPh sb="7" eb="8">
      <t>ベツ</t>
    </rPh>
    <rPh sb="8" eb="10">
      <t>キュウフ</t>
    </rPh>
    <rPh sb="10" eb="11">
      <t>ヒ</t>
    </rPh>
    <phoneticPr fontId="3"/>
  </si>
  <si>
    <t>認定者数</t>
    <rPh sb="0" eb="3">
      <t>ニンテイシャ</t>
    </rPh>
    <rPh sb="3" eb="4">
      <t>スウ</t>
    </rPh>
    <phoneticPr fontId="1"/>
  </si>
  <si>
    <t>施策反映の全体方針</t>
    <rPh sb="0" eb="2">
      <t>シサク</t>
    </rPh>
    <rPh sb="2" eb="4">
      <t>ハンエイ</t>
    </rPh>
    <rPh sb="5" eb="7">
      <t>ゼンタイ</t>
    </rPh>
    <rPh sb="7" eb="9">
      <t>ホウシン</t>
    </rPh>
    <phoneticPr fontId="3"/>
  </si>
  <si>
    <t>（１）在宅サービス</t>
    <rPh sb="3" eb="5">
      <t>ザイタク</t>
    </rPh>
    <phoneticPr fontId="3"/>
  </si>
  <si>
    <t>（２）居住系サービス</t>
    <rPh sb="3" eb="5">
      <t>キョジュウ</t>
    </rPh>
    <rPh sb="5" eb="6">
      <t>ケイ</t>
    </rPh>
    <phoneticPr fontId="8"/>
  </si>
  <si>
    <t>（２）居住系サービス</t>
    <rPh sb="5" eb="6">
      <t>ケイ</t>
    </rPh>
    <phoneticPr fontId="3"/>
  </si>
  <si>
    <t>保険料基準額（月額）</t>
    <rPh sb="0" eb="3">
      <t>ホケンリョウ</t>
    </rPh>
    <rPh sb="3" eb="5">
      <t>キジュン</t>
    </rPh>
    <rPh sb="5" eb="6">
      <t>ガク</t>
    </rPh>
    <rPh sb="7" eb="9">
      <t>ゲツガク</t>
    </rPh>
    <phoneticPr fontId="8"/>
  </si>
  <si>
    <t>金額</t>
    <rPh sb="0" eb="2">
      <t>キンガク</t>
    </rPh>
    <phoneticPr fontId="8"/>
  </si>
  <si>
    <t>居住系サービス</t>
    <rPh sb="0" eb="2">
      <t>キョジュウ</t>
    </rPh>
    <rPh sb="2" eb="3">
      <t>ケイ</t>
    </rPh>
    <phoneticPr fontId="8"/>
  </si>
  <si>
    <t>その他給付費</t>
    <rPh sb="2" eb="3">
      <t>タ</t>
    </rPh>
    <rPh sb="3" eb="5">
      <t>キュウフ</t>
    </rPh>
    <rPh sb="5" eb="6">
      <t>ヒ</t>
    </rPh>
    <phoneticPr fontId="8"/>
  </si>
  <si>
    <t>地域支援事業費</t>
    <rPh sb="0" eb="2">
      <t>チイキ</t>
    </rPh>
    <rPh sb="2" eb="4">
      <t>シエン</t>
    </rPh>
    <rPh sb="4" eb="7">
      <t>ジギョウヒ</t>
    </rPh>
    <phoneticPr fontId="8"/>
  </si>
  <si>
    <t>財政安定化基金（拠出金見込額＋償還金）</t>
    <rPh sb="0" eb="2">
      <t>ザイセイ</t>
    </rPh>
    <rPh sb="2" eb="5">
      <t>アンテイカ</t>
    </rPh>
    <rPh sb="5" eb="7">
      <t>キキン</t>
    </rPh>
    <rPh sb="8" eb="11">
      <t>キョシュツキン</t>
    </rPh>
    <rPh sb="11" eb="13">
      <t>ミコミ</t>
    </rPh>
    <rPh sb="13" eb="14">
      <t>ガク</t>
    </rPh>
    <rPh sb="15" eb="18">
      <t>ショウカンキン</t>
    </rPh>
    <phoneticPr fontId="8"/>
  </si>
  <si>
    <t>市町村特別給付費等</t>
    <rPh sb="0" eb="3">
      <t>シチョウソン</t>
    </rPh>
    <rPh sb="3" eb="5">
      <t>トクベツ</t>
    </rPh>
    <rPh sb="5" eb="7">
      <t>キュウフ</t>
    </rPh>
    <rPh sb="7" eb="8">
      <t>ヒ</t>
    </rPh>
    <rPh sb="8" eb="9">
      <t>トウ</t>
    </rPh>
    <phoneticPr fontId="8"/>
  </si>
  <si>
    <t>保険料収納必要額（月額）</t>
    <rPh sb="0" eb="3">
      <t>ホケンリョウ</t>
    </rPh>
    <rPh sb="3" eb="5">
      <t>シュウノウ</t>
    </rPh>
    <rPh sb="5" eb="7">
      <t>ヒツヨウ</t>
    </rPh>
    <rPh sb="7" eb="8">
      <t>ガク</t>
    </rPh>
    <rPh sb="9" eb="11">
      <t>ゲツガク</t>
    </rPh>
    <phoneticPr fontId="8"/>
  </si>
  <si>
    <t>準備基金取崩額</t>
    <rPh sb="0" eb="2">
      <t>ジュンビ</t>
    </rPh>
    <rPh sb="2" eb="4">
      <t>キキン</t>
    </rPh>
    <rPh sb="4" eb="6">
      <t>トリクズシ</t>
    </rPh>
    <rPh sb="6" eb="7">
      <t>ガク</t>
    </rPh>
    <phoneticPr fontId="8"/>
  </si>
  <si>
    <t>単位：円</t>
    <phoneticPr fontId="3"/>
  </si>
  <si>
    <t>第7期</t>
    <rPh sb="0" eb="1">
      <t>ダイ</t>
    </rPh>
    <rPh sb="2" eb="3">
      <t>キ</t>
    </rPh>
    <phoneticPr fontId="3"/>
  </si>
  <si>
    <t>１．介護予防サービス見込量</t>
    <rPh sb="2" eb="4">
      <t>カイゴ</t>
    </rPh>
    <rPh sb="4" eb="6">
      <t>ヨボウ</t>
    </rPh>
    <rPh sb="10" eb="12">
      <t>ミコミ</t>
    </rPh>
    <rPh sb="12" eb="13">
      <t>リョウ</t>
    </rPh>
    <phoneticPr fontId="3"/>
  </si>
  <si>
    <t>２．介護サービス見込量</t>
    <rPh sb="2" eb="4">
      <t>カイゴ</t>
    </rPh>
    <rPh sb="8" eb="10">
      <t>ミコミ</t>
    </rPh>
    <rPh sb="10" eb="11">
      <t>リョウ</t>
    </rPh>
    <phoneticPr fontId="3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</si>
  <si>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8"/>
  </si>
  <si>
    <t>施策反映内容</t>
    <rPh sb="0" eb="2">
      <t>シサク</t>
    </rPh>
    <rPh sb="2" eb="4">
      <t>ハンエイ</t>
    </rPh>
    <rPh sb="4" eb="6">
      <t>ナイヨウ</t>
    </rPh>
    <phoneticPr fontId="3"/>
  </si>
  <si>
    <t>補足．在宅サービス・施設サービスのバランス（第1号被保険者1人あたりの給付月額）</t>
    <rPh sb="0" eb="2">
      <t>ホソク</t>
    </rPh>
    <rPh sb="3" eb="5">
      <t>ザイタク</t>
    </rPh>
    <rPh sb="10" eb="12">
      <t>シセツ</t>
    </rPh>
    <rPh sb="22" eb="23">
      <t>ダイ</t>
    </rPh>
    <rPh sb="24" eb="25">
      <t>ゴウ</t>
    </rPh>
    <rPh sb="25" eb="29">
      <t>ヒホケンジャ</t>
    </rPh>
    <rPh sb="30" eb="31">
      <t>ニン</t>
    </rPh>
    <rPh sb="35" eb="37">
      <t>キュウフ</t>
    </rPh>
    <rPh sb="37" eb="39">
      <t>ゲツガク</t>
    </rPh>
    <phoneticPr fontId="3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</si>
  <si>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8"/>
  </si>
  <si>
    <t>（３）施設サービス</t>
    <phoneticPr fontId="3"/>
  </si>
  <si>
    <t>（２）地域密着型サービス</t>
    <phoneticPr fontId="3"/>
  </si>
  <si>
    <t>（１）居宅サービス</t>
    <phoneticPr fontId="3"/>
  </si>
  <si>
    <t>出力日：</t>
    <rPh sb="0" eb="2">
      <t>シュツリョク</t>
    </rPh>
    <rPh sb="2" eb="3">
      <t>ビ</t>
    </rPh>
    <phoneticPr fontId="8"/>
  </si>
  <si>
    <t>推計に用いた1人1月あたり利用回（日）数の伸び</t>
    <rPh sb="0" eb="2">
      <t>スイケイ</t>
    </rPh>
    <rPh sb="3" eb="4">
      <t>モチ</t>
    </rPh>
    <phoneticPr fontId="3"/>
  </si>
  <si>
    <t>推計に用いた利用率の伸び</t>
    <rPh sb="0" eb="2">
      <t>スイケイ</t>
    </rPh>
    <rPh sb="3" eb="4">
      <t>モチ</t>
    </rPh>
    <rPh sb="6" eb="9">
      <t>リヨウリツ</t>
    </rPh>
    <rPh sb="10" eb="11">
      <t>ノ</t>
    </rPh>
    <phoneticPr fontId="3"/>
  </si>
  <si>
    <t>推計に用いた認定率の伸び</t>
    <rPh sb="0" eb="2">
      <t>スイケイ</t>
    </rPh>
    <rPh sb="3" eb="4">
      <t>モチ</t>
    </rPh>
    <rPh sb="6" eb="8">
      <t>ニンテイ</t>
    </rPh>
    <rPh sb="8" eb="9">
      <t>リツ</t>
    </rPh>
    <rPh sb="10" eb="11">
      <t>ノ</t>
    </rPh>
    <phoneticPr fontId="3"/>
  </si>
  <si>
    <t>推計に用いた1人1月あたりの給付費の実績値</t>
    <rPh sb="0" eb="2">
      <t>スイケイ</t>
    </rPh>
    <rPh sb="3" eb="4">
      <t>モチ</t>
    </rPh>
    <rPh sb="7" eb="8">
      <t>ニン</t>
    </rPh>
    <rPh sb="9" eb="10">
      <t>ゲツ</t>
    </rPh>
    <rPh sb="14" eb="16">
      <t>キュウフ</t>
    </rPh>
    <rPh sb="16" eb="17">
      <t>ヒ</t>
    </rPh>
    <rPh sb="18" eb="21">
      <t>ジッセキチ</t>
    </rPh>
    <phoneticPr fontId="3"/>
  </si>
  <si>
    <t>推計パターン名</t>
    <rPh sb="0" eb="2">
      <t>スイケイ</t>
    </rPh>
    <rPh sb="6" eb="7">
      <t>メイ</t>
    </rPh>
    <phoneticPr fontId="3"/>
  </si>
  <si>
    <r>
      <t xml:space="preserve">伸び率①
</t>
    </r>
    <r>
      <rPr>
        <sz val="8"/>
        <rFont val="ＭＳ Ｐゴシック"/>
        <family val="3"/>
        <charset val="128"/>
      </rPr>
      <t>※１</t>
    </r>
    <rPh sb="0" eb="1">
      <t>ノ</t>
    </rPh>
    <rPh sb="2" eb="3">
      <t>リツ</t>
    </rPh>
    <phoneticPr fontId="8"/>
  </si>
  <si>
    <r>
      <t xml:space="preserve">伸び率①
</t>
    </r>
    <r>
      <rPr>
        <sz val="8"/>
        <rFont val="ＭＳ Ｐゴシック"/>
        <family val="3"/>
        <charset val="128"/>
      </rPr>
      <t>※２</t>
    </r>
    <rPh sb="0" eb="1">
      <t>ノ</t>
    </rPh>
    <rPh sb="2" eb="3">
      <t>リツ</t>
    </rPh>
    <phoneticPr fontId="8"/>
  </si>
  <si>
    <t>５．総給付費　（３．＋４．）</t>
    <rPh sb="2" eb="3">
      <t>ソウ</t>
    </rPh>
    <rPh sb="3" eb="5">
      <t>キュウフ</t>
    </rPh>
    <rPh sb="5" eb="6">
      <t>ヒ</t>
    </rPh>
    <phoneticPr fontId="3"/>
  </si>
  <si>
    <t>構成比(%)</t>
    <rPh sb="0" eb="3">
      <t>コウセイヒ</t>
    </rPh>
    <phoneticPr fontId="8"/>
  </si>
  <si>
    <t>単位：各項目の（）内</t>
    <rPh sb="3" eb="6">
      <t>カクコウモク</t>
    </rPh>
    <rPh sb="9" eb="10">
      <t>ナイ</t>
    </rPh>
    <phoneticPr fontId="3"/>
  </si>
  <si>
    <t>※給付費は年間累計の金額、回（日）数は１月当たりの数、人数は１月当たりの利用者数。</t>
    <rPh sb="1" eb="4">
      <t>キュウフヒ</t>
    </rPh>
    <rPh sb="5" eb="7">
      <t>ネンカン</t>
    </rPh>
    <rPh sb="7" eb="9">
      <t>ルイケイ</t>
    </rPh>
    <rPh sb="10" eb="12">
      <t>キンガク</t>
    </rPh>
    <rPh sb="13" eb="14">
      <t>カイ</t>
    </rPh>
    <rPh sb="15" eb="16">
      <t>ヒ</t>
    </rPh>
    <rPh sb="17" eb="18">
      <t>スウ</t>
    </rPh>
    <rPh sb="20" eb="21">
      <t>ツキ</t>
    </rPh>
    <rPh sb="21" eb="22">
      <t>ア</t>
    </rPh>
    <rPh sb="25" eb="26">
      <t>カズ</t>
    </rPh>
    <rPh sb="27" eb="29">
      <t>ニンズウ</t>
    </rPh>
    <rPh sb="31" eb="33">
      <t>ツキア</t>
    </rPh>
    <rPh sb="36" eb="39">
      <t>リヨウシャ</t>
    </rPh>
    <rPh sb="39" eb="40">
      <t>スウ</t>
    </rPh>
    <phoneticPr fontId="1"/>
  </si>
  <si>
    <t>※給付費は年間累計の金額</t>
    <phoneticPr fontId="8"/>
  </si>
  <si>
    <t>（３）介護予防支援</t>
    <phoneticPr fontId="3"/>
  </si>
  <si>
    <t>保険料基準額（月額）</t>
    <rPh sb="0" eb="3">
      <t>ホケンリョウ</t>
    </rPh>
    <rPh sb="5" eb="6">
      <t>ガク</t>
    </rPh>
    <rPh sb="7" eb="9">
      <t>ゲツガク</t>
    </rPh>
    <phoneticPr fontId="8"/>
  </si>
  <si>
    <t>１．自然体推計手法</t>
    <phoneticPr fontId="3"/>
  </si>
  <si>
    <t>認定者数の自然体推計手法</t>
    <phoneticPr fontId="3"/>
  </si>
  <si>
    <t>介護サービス利用者数の自然体推計手法</t>
    <rPh sb="0" eb="2">
      <t>カイゴ</t>
    </rPh>
    <rPh sb="6" eb="8">
      <t>リヨウ</t>
    </rPh>
    <rPh sb="8" eb="9">
      <t>シャ</t>
    </rPh>
    <rPh sb="9" eb="10">
      <t>スウ</t>
    </rPh>
    <rPh sb="11" eb="14">
      <t>シゼンタイ</t>
    </rPh>
    <rPh sb="14" eb="16">
      <t>スイケイ</t>
    </rPh>
    <rPh sb="16" eb="18">
      <t>シュホウ</t>
    </rPh>
    <phoneticPr fontId="3"/>
  </si>
  <si>
    <t>２．要介護(支援)認定者数</t>
    <phoneticPr fontId="3"/>
  </si>
  <si>
    <t>給付費の設定内容</t>
    <rPh sb="0" eb="2">
      <t>キュウフ</t>
    </rPh>
    <rPh sb="2" eb="3">
      <t>ヒ</t>
    </rPh>
    <rPh sb="4" eb="6">
      <t>セッテイ</t>
    </rPh>
    <rPh sb="6" eb="8">
      <t>ナイヨウ</t>
    </rPh>
    <phoneticPr fontId="3"/>
  </si>
  <si>
    <t>1人1月あたり給付費</t>
    <phoneticPr fontId="3"/>
  </si>
  <si>
    <t>(参考)保険料の推計に要する係数</t>
    <rPh sb="1" eb="3">
      <t>サンコウ</t>
    </rPh>
    <phoneticPr fontId="3"/>
  </si>
  <si>
    <t>前期高齢者加入割合</t>
  </si>
  <si>
    <t>第1段階</t>
  </si>
  <si>
    <t>第2段階</t>
  </si>
  <si>
    <t>第3段階</t>
  </si>
  <si>
    <t>第4段階</t>
  </si>
  <si>
    <t>第5段階</t>
  </si>
  <si>
    <t>第6段階</t>
  </si>
  <si>
    <t>第7段階</t>
  </si>
  <si>
    <t>第8段階</t>
  </si>
  <si>
    <t>第9段階</t>
  </si>
  <si>
    <t>国庫負担金等の算定の基準となる算定対象審査支払手数料単価（上限）（円）</t>
    <rPh sb="0" eb="2">
      <t>コッコ</t>
    </rPh>
    <rPh sb="2" eb="6">
      <t>フタンキントウ</t>
    </rPh>
    <rPh sb="7" eb="9">
      <t>サンテイ</t>
    </rPh>
    <rPh sb="10" eb="12">
      <t>キジュン</t>
    </rPh>
    <rPh sb="15" eb="17">
      <t>サンテイ</t>
    </rPh>
    <rPh sb="17" eb="19">
      <t>タイショウ</t>
    </rPh>
    <rPh sb="19" eb="21">
      <t>シンサ</t>
    </rPh>
    <rPh sb="21" eb="23">
      <t>シハライ</t>
    </rPh>
    <rPh sb="23" eb="26">
      <t>テスウリョウ</t>
    </rPh>
    <rPh sb="26" eb="28">
      <t>タンカ</t>
    </rPh>
    <rPh sb="29" eb="31">
      <t>ジョウゲン</t>
    </rPh>
    <rPh sb="33" eb="34">
      <t>エン</t>
    </rPh>
    <phoneticPr fontId="8"/>
  </si>
  <si>
    <t>２．保険料基準額の指標</t>
    <rPh sb="2" eb="5">
      <t>ホケンリョウ</t>
    </rPh>
    <rPh sb="5" eb="7">
      <t>キジュン</t>
    </rPh>
    <rPh sb="7" eb="8">
      <t>ガク</t>
    </rPh>
    <rPh sb="9" eb="11">
      <t>シヒョウ</t>
    </rPh>
    <phoneticPr fontId="3"/>
  </si>
  <si>
    <t>準備基金取崩額の影響額</t>
    <rPh sb="0" eb="2">
      <t>ジュンビ</t>
    </rPh>
    <rPh sb="2" eb="4">
      <t>キキン</t>
    </rPh>
    <rPh sb="4" eb="6">
      <t>トリクズシ</t>
    </rPh>
    <rPh sb="6" eb="7">
      <t>ガク</t>
    </rPh>
    <rPh sb="8" eb="11">
      <t>エイキョウガク</t>
    </rPh>
    <phoneticPr fontId="8"/>
  </si>
  <si>
    <t>準備基金の残高（前年度末の見込額）</t>
    <rPh sb="0" eb="2">
      <t>ジュンビ</t>
    </rPh>
    <rPh sb="2" eb="4">
      <t>キキン</t>
    </rPh>
    <rPh sb="5" eb="7">
      <t>ザンダカ</t>
    </rPh>
    <rPh sb="8" eb="9">
      <t>ゼン</t>
    </rPh>
    <rPh sb="9" eb="12">
      <t>ネンドマツ</t>
    </rPh>
    <rPh sb="13" eb="15">
      <t>ミコミ</t>
    </rPh>
    <rPh sb="15" eb="16">
      <t>ガク</t>
    </rPh>
    <phoneticPr fontId="8"/>
  </si>
  <si>
    <t>準備基金取崩額</t>
    <rPh sb="0" eb="2">
      <t>ジュンビ</t>
    </rPh>
    <rPh sb="2" eb="4">
      <t>キキン</t>
    </rPh>
    <rPh sb="4" eb="5">
      <t>ト</t>
    </rPh>
    <rPh sb="5" eb="6">
      <t>クズ</t>
    </rPh>
    <rPh sb="6" eb="7">
      <t>ガク</t>
    </rPh>
    <phoneticPr fontId="8"/>
  </si>
  <si>
    <t>準備基金取崩割合</t>
    <rPh sb="0" eb="2">
      <t>ジュンビ</t>
    </rPh>
    <rPh sb="2" eb="4">
      <t>キキン</t>
    </rPh>
    <rPh sb="4" eb="5">
      <t>ト</t>
    </rPh>
    <rPh sb="5" eb="6">
      <t>クズ</t>
    </rPh>
    <rPh sb="6" eb="8">
      <t>ワリアイ</t>
    </rPh>
    <phoneticPr fontId="8"/>
  </si>
  <si>
    <t>財政安定化基金拠出金見込額の影響額</t>
    <rPh sb="0" eb="2">
      <t>ザイセイ</t>
    </rPh>
    <rPh sb="2" eb="5">
      <t>アンテイカ</t>
    </rPh>
    <rPh sb="5" eb="7">
      <t>キキン</t>
    </rPh>
    <rPh sb="7" eb="10">
      <t>キョシュツキン</t>
    </rPh>
    <rPh sb="10" eb="12">
      <t>ミコ</t>
    </rPh>
    <rPh sb="12" eb="13">
      <t>ガク</t>
    </rPh>
    <rPh sb="14" eb="17">
      <t>エイキョウガク</t>
    </rPh>
    <phoneticPr fontId="8"/>
  </si>
  <si>
    <t>財政安定化基金拠出金見込額</t>
    <rPh sb="0" eb="2">
      <t>ザイセイ</t>
    </rPh>
    <rPh sb="2" eb="5">
      <t>アンテイカ</t>
    </rPh>
    <rPh sb="5" eb="7">
      <t>キキン</t>
    </rPh>
    <rPh sb="7" eb="10">
      <t>キョシュツキン</t>
    </rPh>
    <rPh sb="10" eb="12">
      <t>ミコミ</t>
    </rPh>
    <rPh sb="12" eb="13">
      <t>ガク</t>
    </rPh>
    <phoneticPr fontId="8"/>
  </si>
  <si>
    <t>財政安定化基金拠出率</t>
    <rPh sb="0" eb="2">
      <t>ザイセイ</t>
    </rPh>
    <rPh sb="2" eb="5">
      <t>アンテイカ</t>
    </rPh>
    <rPh sb="5" eb="7">
      <t>キキン</t>
    </rPh>
    <rPh sb="7" eb="9">
      <t>キョシュツ</t>
    </rPh>
    <rPh sb="9" eb="10">
      <t>リツ</t>
    </rPh>
    <phoneticPr fontId="3"/>
  </si>
  <si>
    <t>財政安定化基金償還金の影響額</t>
    <rPh sb="0" eb="2">
      <t>ザイセイ</t>
    </rPh>
    <rPh sb="2" eb="5">
      <t>アンテイカ</t>
    </rPh>
    <rPh sb="5" eb="7">
      <t>キキン</t>
    </rPh>
    <rPh sb="7" eb="10">
      <t>ショウカンキン</t>
    </rPh>
    <rPh sb="11" eb="14">
      <t>エイキョウガク</t>
    </rPh>
    <phoneticPr fontId="8"/>
  </si>
  <si>
    <t>財政安定化基金償還金</t>
    <rPh sb="0" eb="2">
      <t>ザイセイ</t>
    </rPh>
    <rPh sb="2" eb="5">
      <t>アンテイカ</t>
    </rPh>
    <rPh sb="5" eb="7">
      <t>キキン</t>
    </rPh>
    <rPh sb="7" eb="10">
      <t>ショウカンキン</t>
    </rPh>
    <phoneticPr fontId="8"/>
  </si>
  <si>
    <t>３．保険料設定を弾力化した場合の保険料額の指標</t>
    <rPh sb="2" eb="5">
      <t>ホケンリョウ</t>
    </rPh>
    <rPh sb="5" eb="7">
      <t>セッテイ</t>
    </rPh>
    <rPh sb="8" eb="11">
      <t>ダンリョクカ</t>
    </rPh>
    <rPh sb="13" eb="15">
      <t>バアイ</t>
    </rPh>
    <rPh sb="16" eb="19">
      <t>ホケンリョウ</t>
    </rPh>
    <rPh sb="19" eb="20">
      <t>ガク</t>
    </rPh>
    <rPh sb="21" eb="23">
      <t>シヒョウ</t>
    </rPh>
    <phoneticPr fontId="3"/>
  </si>
  <si>
    <t>４　介護保険料基準額（月額）の内訳</t>
    <rPh sb="2" eb="4">
      <t>カイゴ</t>
    </rPh>
    <rPh sb="4" eb="6">
      <t>ホケン</t>
    </rPh>
    <rPh sb="6" eb="7">
      <t>リョウ</t>
    </rPh>
    <rPh sb="7" eb="10">
      <t>キジュンガク</t>
    </rPh>
    <rPh sb="11" eb="12">
      <t>ガツ</t>
    </rPh>
    <rPh sb="12" eb="13">
      <t>ガク</t>
    </rPh>
    <rPh sb="15" eb="17">
      <t>ウチワケ</t>
    </rPh>
    <phoneticPr fontId="3"/>
  </si>
  <si>
    <t>構成比</t>
    <rPh sb="0" eb="3">
      <t>コウセイヒ</t>
    </rPh>
    <phoneticPr fontId="8"/>
  </si>
  <si>
    <t>在宅サービス</t>
    <rPh sb="0" eb="2">
      <t>ザイタク</t>
    </rPh>
    <phoneticPr fontId="3"/>
  </si>
  <si>
    <t>居住系サービス</t>
    <rPh sb="0" eb="2">
      <t>キョジュウ</t>
    </rPh>
    <rPh sb="2" eb="3">
      <t>ケイ</t>
    </rPh>
    <phoneticPr fontId="3"/>
  </si>
  <si>
    <t>施設サービス</t>
    <rPh sb="0" eb="2">
      <t>シセツ</t>
    </rPh>
    <phoneticPr fontId="3"/>
  </si>
  <si>
    <t>基準保険料額（月額）</t>
    <rPh sb="0" eb="2">
      <t>キジュン</t>
    </rPh>
    <rPh sb="2" eb="5">
      <t>ホケンリョウ</t>
    </rPh>
    <rPh sb="5" eb="6">
      <t>ガク</t>
    </rPh>
    <rPh sb="7" eb="9">
      <t>ゲツガク</t>
    </rPh>
    <phoneticPr fontId="8"/>
  </si>
  <si>
    <t>（弾力化した場合）</t>
    <rPh sb="1" eb="4">
      <t>ダンリョクカ</t>
    </rPh>
    <rPh sb="6" eb="8">
      <t>バアイ</t>
    </rPh>
    <phoneticPr fontId="3"/>
  </si>
  <si>
    <t>５．保険料収納必要額関係</t>
    <rPh sb="2" eb="5">
      <t>ホケンリョウ</t>
    </rPh>
    <rPh sb="5" eb="7">
      <t>シュウノウ</t>
    </rPh>
    <rPh sb="7" eb="9">
      <t>ヒツヨウ</t>
    </rPh>
    <rPh sb="9" eb="10">
      <t>ガク</t>
    </rPh>
    <rPh sb="10" eb="12">
      <t>カンケイ</t>
    </rPh>
    <phoneticPr fontId="3"/>
  </si>
  <si>
    <t>合計</t>
    <rPh sb="0" eb="2">
      <t>ゴウケイ</t>
    </rPh>
    <phoneticPr fontId="3"/>
  </si>
  <si>
    <t>標準給付費見込額（A）</t>
    <rPh sb="0" eb="2">
      <t>ヒョウジュン</t>
    </rPh>
    <rPh sb="2" eb="5">
      <t>キュウフヒ</t>
    </rPh>
    <rPh sb="5" eb="8">
      <t>ミコミガク</t>
    </rPh>
    <phoneticPr fontId="8"/>
  </si>
  <si>
    <t>高額医療合算介護サービス費等給付額</t>
    <rPh sb="0" eb="2">
      <t>コウガク</t>
    </rPh>
    <rPh sb="2" eb="4">
      <t>イリョウ</t>
    </rPh>
    <rPh sb="4" eb="6">
      <t>ガッサン</t>
    </rPh>
    <rPh sb="6" eb="8">
      <t>カイゴ</t>
    </rPh>
    <rPh sb="12" eb="14">
      <t>ヒトウ</t>
    </rPh>
    <rPh sb="14" eb="16">
      <t>キュウフ</t>
    </rPh>
    <rPh sb="16" eb="17">
      <t>ガク</t>
    </rPh>
    <phoneticPr fontId="8"/>
  </si>
  <si>
    <t>算定対象審査支払手数料</t>
    <rPh sb="0" eb="2">
      <t>サンテイ</t>
    </rPh>
    <rPh sb="2" eb="4">
      <t>タイショウ</t>
    </rPh>
    <rPh sb="4" eb="6">
      <t>シンサ</t>
    </rPh>
    <rPh sb="6" eb="8">
      <t>シハライ</t>
    </rPh>
    <rPh sb="8" eb="11">
      <t>テスウリョウ</t>
    </rPh>
    <phoneticPr fontId="8"/>
  </si>
  <si>
    <t>審査支払手数料差引額（K）</t>
    <rPh sb="7" eb="9">
      <t>サシヒキ</t>
    </rPh>
    <rPh sb="9" eb="10">
      <t>ガク</t>
    </rPh>
    <phoneticPr fontId="3"/>
  </si>
  <si>
    <t>地域支援事業費（B)</t>
    <rPh sb="0" eb="2">
      <t>チイキ</t>
    </rPh>
    <rPh sb="2" eb="4">
      <t>シエン</t>
    </rPh>
    <rPh sb="4" eb="7">
      <t>ジギョウヒ</t>
    </rPh>
    <phoneticPr fontId="8"/>
  </si>
  <si>
    <t>介護予防・日常生活支援総合事業費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phoneticPr fontId="3"/>
  </si>
  <si>
    <t>第1号被保険者負担分相当額（D）</t>
    <rPh sb="0" eb="1">
      <t>ダイ</t>
    </rPh>
    <rPh sb="2" eb="3">
      <t>ゴウ</t>
    </rPh>
    <rPh sb="3" eb="7">
      <t>ヒホケンシャ</t>
    </rPh>
    <rPh sb="7" eb="10">
      <t>フタンブン</t>
    </rPh>
    <rPh sb="10" eb="12">
      <t>ソウトウ</t>
    </rPh>
    <rPh sb="12" eb="13">
      <t>ガク</t>
    </rPh>
    <phoneticPr fontId="8"/>
  </si>
  <si>
    <t>調整交付金相当額（E）</t>
    <rPh sb="0" eb="2">
      <t>チョウセイ</t>
    </rPh>
    <rPh sb="2" eb="5">
      <t>コウフキン</t>
    </rPh>
    <rPh sb="5" eb="7">
      <t>ソウトウ</t>
    </rPh>
    <rPh sb="7" eb="8">
      <t>ガク</t>
    </rPh>
    <phoneticPr fontId="8"/>
  </si>
  <si>
    <t>市町村特別給付費等</t>
    <rPh sb="0" eb="3">
      <t>シチョウソン</t>
    </rPh>
    <rPh sb="3" eb="5">
      <t>トクベツ</t>
    </rPh>
    <rPh sb="5" eb="7">
      <t>キュウフ</t>
    </rPh>
    <rPh sb="7" eb="8">
      <t>ヒ</t>
    </rPh>
    <rPh sb="8" eb="9">
      <t>ナド</t>
    </rPh>
    <phoneticPr fontId="8"/>
  </si>
  <si>
    <t>市町村相互財政安定化事業負担額</t>
    <rPh sb="0" eb="3">
      <t>シチョウソン</t>
    </rPh>
    <rPh sb="3" eb="5">
      <t>ソウゴ</t>
    </rPh>
    <rPh sb="5" eb="7">
      <t>ザイセイ</t>
    </rPh>
    <rPh sb="7" eb="10">
      <t>アンテイカ</t>
    </rPh>
    <rPh sb="10" eb="12">
      <t>ジギョウ</t>
    </rPh>
    <rPh sb="12" eb="14">
      <t>フタン</t>
    </rPh>
    <rPh sb="14" eb="15">
      <t>ガク</t>
    </rPh>
    <phoneticPr fontId="8"/>
  </si>
  <si>
    <t>保険料収納必要額（L)</t>
    <rPh sb="0" eb="3">
      <t>ホケンリョウ</t>
    </rPh>
    <rPh sb="3" eb="5">
      <t>シュウノウ</t>
    </rPh>
    <rPh sb="5" eb="8">
      <t>ヒツヨウガク</t>
    </rPh>
    <phoneticPr fontId="8"/>
  </si>
  <si>
    <t>予定保険料収納率</t>
    <rPh sb="0" eb="2">
      <t>ヨテイ</t>
    </rPh>
    <rPh sb="2" eb="5">
      <t>ホケンリョウ</t>
    </rPh>
    <rPh sb="5" eb="8">
      <t>シュウノウリツ</t>
    </rPh>
    <phoneticPr fontId="8"/>
  </si>
  <si>
    <t>６．第１号被保険者数関係</t>
    <rPh sb="2" eb="3">
      <t>ダイ</t>
    </rPh>
    <rPh sb="4" eb="5">
      <t>ゴウ</t>
    </rPh>
    <rPh sb="5" eb="9">
      <t>ヒホケンシャ</t>
    </rPh>
    <rPh sb="9" eb="10">
      <t>スウ</t>
    </rPh>
    <rPh sb="10" eb="12">
      <t>カンケイ</t>
    </rPh>
    <phoneticPr fontId="3"/>
  </si>
  <si>
    <t>第1号被保険者数</t>
    <rPh sb="0" eb="3">
      <t>ダイ１ゴウ</t>
    </rPh>
    <rPh sb="3" eb="7">
      <t>ヒホケンシャ</t>
    </rPh>
    <rPh sb="7" eb="8">
      <t>スウ</t>
    </rPh>
    <phoneticPr fontId="8"/>
  </si>
  <si>
    <t>前期(65～74歳)</t>
    <rPh sb="0" eb="2">
      <t>ゼンキ</t>
    </rPh>
    <rPh sb="8" eb="9">
      <t>サイ</t>
    </rPh>
    <phoneticPr fontId="8"/>
  </si>
  <si>
    <t>所得段階別加入割合</t>
    <rPh sb="0" eb="2">
      <t>ショトク</t>
    </rPh>
    <rPh sb="2" eb="4">
      <t>ダンカイ</t>
    </rPh>
    <rPh sb="4" eb="5">
      <t>ベツ</t>
    </rPh>
    <rPh sb="5" eb="7">
      <t>カニュウ</t>
    </rPh>
    <rPh sb="7" eb="9">
      <t>ワリアイ</t>
    </rPh>
    <phoneticPr fontId="8"/>
  </si>
  <si>
    <t>第1段階</t>
    <rPh sb="0" eb="4">
      <t>ダイ１ダンカイ</t>
    </rPh>
    <phoneticPr fontId="8"/>
  </si>
  <si>
    <t>第2段階</t>
    <rPh sb="0" eb="4">
      <t>ダイ２ダンカイ</t>
    </rPh>
    <phoneticPr fontId="8"/>
  </si>
  <si>
    <t>所得段階別被保険者数</t>
    <rPh sb="0" eb="2">
      <t>ショトク</t>
    </rPh>
    <rPh sb="2" eb="4">
      <t>ダンカイ</t>
    </rPh>
    <rPh sb="4" eb="5">
      <t>ベツ</t>
    </rPh>
    <rPh sb="5" eb="9">
      <t>ヒホケンシャ</t>
    </rPh>
    <rPh sb="9" eb="10">
      <t>スウ</t>
    </rPh>
    <phoneticPr fontId="8"/>
  </si>
  <si>
    <t>保険料設定を弾力化した場合の所得段階別加入割合</t>
    <rPh sb="0" eb="3">
      <t>ホケンリョウ</t>
    </rPh>
    <rPh sb="3" eb="5">
      <t>セッテイ</t>
    </rPh>
    <rPh sb="6" eb="9">
      <t>ダンリョクカ</t>
    </rPh>
    <rPh sb="11" eb="13">
      <t>バアイ</t>
    </rPh>
    <rPh sb="14" eb="16">
      <t>ショトク</t>
    </rPh>
    <rPh sb="16" eb="18">
      <t>ダンカイ</t>
    </rPh>
    <rPh sb="18" eb="19">
      <t>ベツ</t>
    </rPh>
    <rPh sb="19" eb="21">
      <t>カニュウ</t>
    </rPh>
    <rPh sb="21" eb="23">
      <t>ワリアイ</t>
    </rPh>
    <phoneticPr fontId="8"/>
  </si>
  <si>
    <t>第10段階</t>
    <rPh sb="0" eb="1">
      <t>ダイ</t>
    </rPh>
    <rPh sb="3" eb="5">
      <t>ダンカイ</t>
    </rPh>
    <phoneticPr fontId="8"/>
  </si>
  <si>
    <t>第11段階</t>
    <rPh sb="0" eb="1">
      <t>ダイ</t>
    </rPh>
    <rPh sb="3" eb="5">
      <t>ダンカイ</t>
    </rPh>
    <phoneticPr fontId="8"/>
  </si>
  <si>
    <t>第12段階</t>
    <rPh sb="0" eb="1">
      <t>ダイ</t>
    </rPh>
    <rPh sb="3" eb="5">
      <t>ダンカイ</t>
    </rPh>
    <phoneticPr fontId="8"/>
  </si>
  <si>
    <t>第13段階</t>
    <rPh sb="0" eb="1">
      <t>ダイ</t>
    </rPh>
    <rPh sb="3" eb="5">
      <t>ダンカイ</t>
    </rPh>
    <phoneticPr fontId="8"/>
  </si>
  <si>
    <t>第14段階</t>
    <rPh sb="0" eb="1">
      <t>ダイ</t>
    </rPh>
    <rPh sb="3" eb="5">
      <t>ダンカイ</t>
    </rPh>
    <phoneticPr fontId="8"/>
  </si>
  <si>
    <t>第15段階</t>
    <rPh sb="0" eb="1">
      <t>ダイ</t>
    </rPh>
    <rPh sb="3" eb="5">
      <t>ダンカイ</t>
    </rPh>
    <phoneticPr fontId="8"/>
  </si>
  <si>
    <t>第16段階</t>
    <rPh sb="0" eb="1">
      <t>ダイ</t>
    </rPh>
    <rPh sb="3" eb="5">
      <t>ダンカイ</t>
    </rPh>
    <phoneticPr fontId="8"/>
  </si>
  <si>
    <t>第17段階</t>
    <rPh sb="0" eb="1">
      <t>ダイ</t>
    </rPh>
    <rPh sb="3" eb="5">
      <t>ダンカイ</t>
    </rPh>
    <phoneticPr fontId="8"/>
  </si>
  <si>
    <t>第18段階</t>
    <rPh sb="0" eb="1">
      <t>ダイ</t>
    </rPh>
    <rPh sb="3" eb="5">
      <t>ダンカイ</t>
    </rPh>
    <phoneticPr fontId="8"/>
  </si>
  <si>
    <t>第19段階</t>
    <rPh sb="0" eb="1">
      <t>ダイ</t>
    </rPh>
    <rPh sb="3" eb="5">
      <t>ダンカイ</t>
    </rPh>
    <phoneticPr fontId="3"/>
  </si>
  <si>
    <t>第20段階</t>
    <rPh sb="0" eb="1">
      <t>ダイ</t>
    </rPh>
    <rPh sb="3" eb="5">
      <t>ダンカイ</t>
    </rPh>
    <phoneticPr fontId="3"/>
  </si>
  <si>
    <t>第21段階</t>
    <rPh sb="0" eb="1">
      <t>ダイ</t>
    </rPh>
    <rPh sb="3" eb="5">
      <t>ダンカイ</t>
    </rPh>
    <phoneticPr fontId="3"/>
  </si>
  <si>
    <t>第22段階</t>
    <rPh sb="0" eb="1">
      <t>ダイ</t>
    </rPh>
    <rPh sb="3" eb="5">
      <t>ダンカイ</t>
    </rPh>
    <phoneticPr fontId="3"/>
  </si>
  <si>
    <t>第23段階</t>
    <rPh sb="0" eb="1">
      <t>ダイ</t>
    </rPh>
    <rPh sb="3" eb="5">
      <t>ダンカイ</t>
    </rPh>
    <phoneticPr fontId="3"/>
  </si>
  <si>
    <t>第24段階</t>
    <rPh sb="0" eb="1">
      <t>ダイ</t>
    </rPh>
    <rPh sb="3" eb="5">
      <t>ダンカイ</t>
    </rPh>
    <phoneticPr fontId="3"/>
  </si>
  <si>
    <t>第25段階</t>
    <rPh sb="0" eb="1">
      <t>ダイ</t>
    </rPh>
    <rPh sb="3" eb="5">
      <t>ダンカイ</t>
    </rPh>
    <phoneticPr fontId="3"/>
  </si>
  <si>
    <t>保険料設定を弾力化した場合の所得段階別被保険者数</t>
    <rPh sb="0" eb="3">
      <t>ホケンリョウ</t>
    </rPh>
    <rPh sb="3" eb="5">
      <t>セッテイ</t>
    </rPh>
    <rPh sb="6" eb="9">
      <t>ダンリョクカ</t>
    </rPh>
    <rPh sb="11" eb="13">
      <t>バアイ</t>
    </rPh>
    <rPh sb="14" eb="16">
      <t>ショトク</t>
    </rPh>
    <rPh sb="16" eb="18">
      <t>ダンカイ</t>
    </rPh>
    <rPh sb="18" eb="19">
      <t>ベツ</t>
    </rPh>
    <rPh sb="19" eb="23">
      <t>ヒホケンシャ</t>
    </rPh>
    <rPh sb="23" eb="24">
      <t>スウ</t>
    </rPh>
    <phoneticPr fontId="8"/>
  </si>
  <si>
    <t>所得段階別加入割合補正後被保険者数（C）</t>
    <rPh sb="2" eb="5">
      <t>ダンカイベツ</t>
    </rPh>
    <rPh sb="5" eb="7">
      <t>カニュウ</t>
    </rPh>
    <rPh sb="7" eb="9">
      <t>ワリアイ</t>
    </rPh>
    <phoneticPr fontId="8"/>
  </si>
  <si>
    <t>弾力化をした場合の所得段階別加入割合補正後被保険者数（C'）</t>
    <rPh sb="0" eb="3">
      <t>ダンリョクカ</t>
    </rPh>
    <rPh sb="6" eb="8">
      <t>バアイ</t>
    </rPh>
    <rPh sb="11" eb="14">
      <t>ダンカイベツ</t>
    </rPh>
    <rPh sb="14" eb="16">
      <t>カニュウ</t>
    </rPh>
    <rPh sb="16" eb="18">
      <t>ワリアイ</t>
    </rPh>
    <phoneticPr fontId="8"/>
  </si>
  <si>
    <t>７．保険料弾力化関係係数</t>
    <rPh sb="2" eb="5">
      <t>ホケンリョウ</t>
    </rPh>
    <rPh sb="5" eb="8">
      <t>ダンリョクカ</t>
    </rPh>
    <rPh sb="8" eb="10">
      <t>カンケイ</t>
    </rPh>
    <rPh sb="10" eb="12">
      <t>ケイスウ</t>
    </rPh>
    <phoneticPr fontId="8"/>
  </si>
  <si>
    <t>保険料段階設定数</t>
    <rPh sb="0" eb="3">
      <t>ホケンリョウ</t>
    </rPh>
    <rPh sb="3" eb="5">
      <t>ダンカイ</t>
    </rPh>
    <rPh sb="5" eb="7">
      <t>セッテイ</t>
    </rPh>
    <rPh sb="7" eb="8">
      <t>スウ</t>
    </rPh>
    <phoneticPr fontId="8"/>
  </si>
  <si>
    <t>基準額に対する割合</t>
    <rPh sb="0" eb="3">
      <t>キジュンガク</t>
    </rPh>
    <rPh sb="4" eb="5">
      <t>タイ</t>
    </rPh>
    <rPh sb="7" eb="9">
      <t>ワリアイ</t>
    </rPh>
    <phoneticPr fontId="8"/>
  </si>
  <si>
    <t>第1段階</t>
    <rPh sb="0" eb="1">
      <t>ダイ</t>
    </rPh>
    <rPh sb="2" eb="4">
      <t>ダンカイ</t>
    </rPh>
    <phoneticPr fontId="8"/>
  </si>
  <si>
    <t>第2段階</t>
    <rPh sb="0" eb="1">
      <t>ダイ</t>
    </rPh>
    <rPh sb="2" eb="4">
      <t>ダンカイ</t>
    </rPh>
    <phoneticPr fontId="8"/>
  </si>
  <si>
    <t>第3段階</t>
    <rPh sb="0" eb="1">
      <t>ダイ</t>
    </rPh>
    <rPh sb="2" eb="4">
      <t>ダンカイ</t>
    </rPh>
    <phoneticPr fontId="8"/>
  </si>
  <si>
    <t>第4段階</t>
    <rPh sb="0" eb="1">
      <t>ダイ</t>
    </rPh>
    <rPh sb="2" eb="4">
      <t>ダンカイ</t>
    </rPh>
    <phoneticPr fontId="8"/>
  </si>
  <si>
    <t>第5段階</t>
    <rPh sb="0" eb="1">
      <t>ダイ</t>
    </rPh>
    <rPh sb="2" eb="4">
      <t>ダンカイ</t>
    </rPh>
    <phoneticPr fontId="8"/>
  </si>
  <si>
    <t>第6段階</t>
    <rPh sb="0" eb="1">
      <t>ダイ</t>
    </rPh>
    <rPh sb="2" eb="4">
      <t>ダンカイ</t>
    </rPh>
    <phoneticPr fontId="8"/>
  </si>
  <si>
    <t>第7段階</t>
    <rPh sb="0" eb="1">
      <t>ダイ</t>
    </rPh>
    <rPh sb="2" eb="4">
      <t>ダンカイ</t>
    </rPh>
    <phoneticPr fontId="8"/>
  </si>
  <si>
    <t>第8段階</t>
    <rPh sb="0" eb="1">
      <t>ダイ</t>
    </rPh>
    <rPh sb="2" eb="4">
      <t>ダンカイ</t>
    </rPh>
    <phoneticPr fontId="8"/>
  </si>
  <si>
    <t>第9段階</t>
    <rPh sb="0" eb="1">
      <t>ダイ</t>
    </rPh>
    <rPh sb="2" eb="4">
      <t>ダンカイ</t>
    </rPh>
    <phoneticPr fontId="8"/>
  </si>
  <si>
    <t>基準所得金額</t>
    <rPh sb="0" eb="2">
      <t>キジュン</t>
    </rPh>
    <rPh sb="2" eb="4">
      <t>ショトク</t>
    </rPh>
    <rPh sb="4" eb="6">
      <t>キンガク</t>
    </rPh>
    <phoneticPr fontId="8"/>
  </si>
  <si>
    <t>第6段階と第7段階を区分</t>
    <rPh sb="0" eb="1">
      <t>ダイ</t>
    </rPh>
    <rPh sb="2" eb="4">
      <t>ダンカイ</t>
    </rPh>
    <rPh sb="5" eb="6">
      <t>ダイ</t>
    </rPh>
    <rPh sb="7" eb="9">
      <t>ダンカイ</t>
    </rPh>
    <rPh sb="10" eb="12">
      <t>クブン</t>
    </rPh>
    <phoneticPr fontId="8"/>
  </si>
  <si>
    <t>第7段階と第8段階を区分</t>
    <rPh sb="0" eb="1">
      <t>ダイ</t>
    </rPh>
    <rPh sb="2" eb="4">
      <t>ダンカイ</t>
    </rPh>
    <rPh sb="5" eb="6">
      <t>ダイ</t>
    </rPh>
    <rPh sb="7" eb="9">
      <t>ダンカイ</t>
    </rPh>
    <rPh sb="10" eb="12">
      <t>クブン</t>
    </rPh>
    <phoneticPr fontId="8"/>
  </si>
  <si>
    <t>第8段階と第9段階を区分</t>
    <rPh sb="0" eb="1">
      <t>ダイ</t>
    </rPh>
    <rPh sb="2" eb="4">
      <t>ダンカイ</t>
    </rPh>
    <rPh sb="5" eb="6">
      <t>ダイ</t>
    </rPh>
    <rPh sb="7" eb="9">
      <t>ダンカイ</t>
    </rPh>
    <rPh sb="10" eb="12">
      <t>クブン</t>
    </rPh>
    <phoneticPr fontId="8"/>
  </si>
  <si>
    <t>第9段階と第10段階を区分</t>
    <rPh sb="0" eb="1">
      <t>ダイ</t>
    </rPh>
    <rPh sb="2" eb="4">
      <t>ダンカイ</t>
    </rPh>
    <rPh sb="5" eb="6">
      <t>ダイ</t>
    </rPh>
    <rPh sb="8" eb="10">
      <t>ダンカイ</t>
    </rPh>
    <rPh sb="11" eb="13">
      <t>クブン</t>
    </rPh>
    <phoneticPr fontId="8"/>
  </si>
  <si>
    <t>第10段階と第11段階を区分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</si>
  <si>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第11段階と第12段階を区分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</si>
  <si>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第12段階と第13段階を区分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</si>
  <si>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第13段階と第14段階を区分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</si>
  <si>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第14段階と第15段階を区分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</si>
  <si>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第15段階と第16段階を区分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</si>
  <si>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第16段階と第17段階を区分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</si>
  <si>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第17段階と第18段階を区分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</si>
  <si>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第18段階と第19段階を区分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3"/>
  </si>
  <si>
    <t>第19段階と第20段階を区分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3"/>
  </si>
  <si>
    <t>第20段階と第21段階を区分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</si>
  <si>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第21段階と第22段階を区分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</si>
  <si>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第22段階と第23段階を区分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</si>
  <si>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第23段階と第24段階を区分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</si>
  <si>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第24段階と第25段階を区分</t>
    <rPh sb="0" eb="1">
      <t>ダイ</t>
    </rPh>
    <rPh sb="3" eb="5">
      <t>ダンカイ</t>
    </rPh>
    <rPh sb="6" eb="7">
      <t>ダイ</t>
    </rPh>
    <rPh sb="9" eb="11">
      <t>ダンカイ</t>
    </rPh>
    <rPh sb="12" eb="14">
      <t>クブン</t>
    </rPh>
    <phoneticPr fontId="8"/>
  </si>
  <si>
    <t>（参考）標準段階区分</t>
    <rPh sb="1" eb="3">
      <t>サンコウ</t>
    </rPh>
    <rPh sb="4" eb="6">
      <t>ヒョウジュン</t>
    </rPh>
    <rPh sb="6" eb="8">
      <t>ダンカイ</t>
    </rPh>
    <rPh sb="8" eb="10">
      <t>クブン</t>
    </rPh>
    <phoneticPr fontId="8"/>
  </si>
  <si>
    <t>３．総給付費</t>
    <rPh sb="2" eb="3">
      <t>ソウ</t>
    </rPh>
    <rPh sb="3" eb="5">
      <t>キュウフ</t>
    </rPh>
    <rPh sb="5" eb="6">
      <t>ヒ</t>
    </rPh>
    <phoneticPr fontId="3"/>
  </si>
  <si>
    <t>介護医療院</t>
    <phoneticPr fontId="8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</si>
  <si>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8"/>
  </si>
  <si>
    <t>給付費（千円）</t>
    <phoneticPr fontId="8"/>
  </si>
  <si>
    <t>人数（人）</t>
    <phoneticPr fontId="8"/>
  </si>
  <si>
    <t>４．施設サービス利用者数</t>
    <rPh sb="2" eb="4">
      <t>シセツ</t>
    </rPh>
    <rPh sb="8" eb="10">
      <t>リヨウ</t>
    </rPh>
    <rPh sb="10" eb="11">
      <t>シャ</t>
    </rPh>
    <rPh sb="11" eb="12">
      <t>スウ</t>
    </rPh>
    <phoneticPr fontId="3"/>
  </si>
  <si>
    <t>うち要介護4・5（人）</t>
    <rPh sb="2" eb="5">
      <t>ヨウカイゴ</t>
    </rPh>
    <rPh sb="9" eb="10">
      <t>ニン</t>
    </rPh>
    <phoneticPr fontId="8"/>
  </si>
  <si>
    <t>うち要介護4・5の割合（％）</t>
    <rPh sb="2" eb="5">
      <t>ヨウカイゴ</t>
    </rPh>
    <rPh sb="9" eb="11">
      <t>ワリアイ</t>
    </rPh>
    <phoneticPr fontId="8"/>
  </si>
  <si>
    <t>後期(85歳～)</t>
  </si>
  <si>
    <t>第１号被保険者負担割合（%）</t>
    <phoneticPr fontId="3"/>
  </si>
  <si>
    <t>費用負担の見直しに伴う調整に係る係数（参考値）（未定）</t>
    <phoneticPr fontId="3"/>
  </si>
  <si>
    <t>後期(75歳～84歳)</t>
  </si>
  <si>
    <t>第6段階</t>
    <phoneticPr fontId="8"/>
  </si>
  <si>
    <t>第7段階</t>
    <phoneticPr fontId="3"/>
  </si>
  <si>
    <t>第8段階</t>
    <phoneticPr fontId="3"/>
  </si>
  <si>
    <t>第9段階</t>
    <phoneticPr fontId="8"/>
  </si>
  <si>
    <t>保険料基準額（月額）</t>
    <phoneticPr fontId="3"/>
  </si>
  <si>
    <t>審査支払手数料一件あたり単価</t>
    <phoneticPr fontId="4"/>
  </si>
  <si>
    <t>審査支払手数料支払件数</t>
    <phoneticPr fontId="3"/>
  </si>
  <si>
    <t>第6段階</t>
    <phoneticPr fontId="8"/>
  </si>
  <si>
    <t>第7段階</t>
    <phoneticPr fontId="3"/>
  </si>
  <si>
    <t>第8段階</t>
    <phoneticPr fontId="3"/>
  </si>
  <si>
    <t>第9段階</t>
    <phoneticPr fontId="8"/>
  </si>
  <si>
    <t>４．在宅サービス利用者数</t>
    <rPh sb="8" eb="10">
      <t>リヨウ</t>
    </rPh>
    <rPh sb="10" eb="11">
      <t>シャ</t>
    </rPh>
    <rPh sb="11" eb="12">
      <t>スウ</t>
    </rPh>
    <phoneticPr fontId="3"/>
  </si>
  <si>
    <t>後期(75歳～)</t>
    <phoneticPr fontId="3"/>
  </si>
  <si>
    <t>後期高齢者加入割合補正係数（F）</t>
  </si>
  <si>
    <t>所得段階別加入割合補正係数（G）</t>
    <phoneticPr fontId="3"/>
  </si>
  <si>
    <t>調整交付金見込額（I）</t>
    <phoneticPr fontId="3"/>
  </si>
  <si>
    <t>調整交付金見込交付割合（H）</t>
    <phoneticPr fontId="3"/>
  </si>
  <si>
    <t>前期高齢者の要介護等発生率</t>
  </si>
  <si>
    <t>短期入所療養介護(介護医療院)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イリョウ</t>
    </rPh>
    <rPh sb="13" eb="14">
      <t>イン</t>
    </rPh>
    <phoneticPr fontId="8"/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</si>
  <si>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8"/>
  </si>
  <si>
    <t>令和2年度</t>
    <rPh sb="0" eb="2">
      <t>レイワ</t>
    </rPh>
    <rPh sb="3" eb="5">
      <t>ネンド</t>
    </rPh>
    <phoneticPr fontId="8"/>
  </si>
  <si>
    <t>令和3年度</t>
    <rPh sb="0" eb="2">
      <t>レイワ</t>
    </rPh>
    <rPh sb="3" eb="5">
      <t>ネンド</t>
    </rPh>
    <phoneticPr fontId="8"/>
  </si>
  <si>
    <t>令和4年度</t>
    <rPh sb="0" eb="2">
      <t>レイワ</t>
    </rPh>
    <rPh sb="3" eb="5">
      <t>ネンド</t>
    </rPh>
    <phoneticPr fontId="8"/>
  </si>
  <si>
    <t>令和5年度</t>
    <rPh sb="0" eb="2">
      <t>レイワ</t>
    </rPh>
    <rPh sb="3" eb="5">
      <t>ネンド</t>
    </rPh>
    <phoneticPr fontId="8"/>
  </si>
  <si>
    <t>令和7年度</t>
    <rPh sb="0" eb="2">
      <t>レイワ</t>
    </rPh>
    <rPh sb="3" eb="5">
      <t>ネンド</t>
    </rPh>
    <phoneticPr fontId="8"/>
  </si>
  <si>
    <t>平成30年度</t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</si>
  <si>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</si>
  <si>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令和7年度</t>
    <rPh sb="0" eb="2">
      <t>レイワ</t>
    </rPh>
    <rPh sb="3" eb="5">
      <t>ネンド</t>
    </rPh>
    <phoneticPr fontId="3"/>
  </si>
  <si>
    <t>令和7年度</t>
    <phoneticPr fontId="3"/>
  </si>
  <si>
    <t>調整交付金見込額の調整理由</t>
    <rPh sb="0" eb="2">
      <t>チョウセイ</t>
    </rPh>
    <rPh sb="2" eb="5">
      <t>コウフキン</t>
    </rPh>
    <rPh sb="5" eb="7">
      <t>ミコ</t>
    </rPh>
    <rPh sb="7" eb="8">
      <t>ガク</t>
    </rPh>
    <rPh sb="9" eb="11">
      <t>チョウセイ</t>
    </rPh>
    <rPh sb="11" eb="13">
      <t>リユウ</t>
    </rPh>
    <phoneticPr fontId="3"/>
  </si>
  <si>
    <t>認定者数</t>
    <phoneticPr fontId="3"/>
  </si>
  <si>
    <t>３．施設・居住系サービス利用者数</t>
    <phoneticPr fontId="3"/>
  </si>
  <si>
    <t>利用者数の設定内容</t>
    <rPh sb="0" eb="2">
      <t>リヨウ</t>
    </rPh>
    <rPh sb="2" eb="3">
      <t>シャ</t>
    </rPh>
    <rPh sb="3" eb="4">
      <t>スウ</t>
    </rPh>
    <rPh sb="5" eb="7">
      <t>セッテイ</t>
    </rPh>
    <rPh sb="7" eb="9">
      <t>ナイヨウ</t>
    </rPh>
    <phoneticPr fontId="3"/>
  </si>
  <si>
    <t>利用回(日)数の設定内容</t>
    <rPh sb="0" eb="2">
      <t>リヨウ</t>
    </rPh>
    <rPh sb="2" eb="3">
      <t>カイ</t>
    </rPh>
    <rPh sb="3" eb="6">
      <t>ニチ</t>
    </rPh>
    <rPh sb="6" eb="7">
      <t>カズ</t>
    </rPh>
    <rPh sb="8" eb="10">
      <t>セッテイ</t>
    </rPh>
    <rPh sb="10" eb="12">
      <t>ナイヨウ</t>
    </rPh>
    <phoneticPr fontId="3"/>
  </si>
  <si>
    <t>認定者数の設定内容</t>
    <phoneticPr fontId="3"/>
  </si>
  <si>
    <t>施設・居住系サービス利用者数</t>
    <phoneticPr fontId="3"/>
  </si>
  <si>
    <t>1人1月あたり給付費</t>
    <phoneticPr fontId="3"/>
  </si>
  <si>
    <t>在宅サービス利用者数</t>
    <phoneticPr fontId="3"/>
  </si>
  <si>
    <t>在宅サービス利用回(日)数</t>
    <phoneticPr fontId="3"/>
  </si>
  <si>
    <t>在宅サービス利用者数(利用率)</t>
    <phoneticPr fontId="3"/>
  </si>
  <si>
    <t>在宅サービス利用回(日)数</t>
    <phoneticPr fontId="3"/>
  </si>
  <si>
    <t>第8期介護保険事業（支援）計画策定に向けたワークシート
【総括表】</t>
    <rPh sb="29" eb="32">
      <t>ソウカツヒョウ</t>
    </rPh>
    <phoneticPr fontId="3"/>
  </si>
  <si>
    <t>※１：第8期平均値/令和2年度の値*100</t>
    <rPh sb="3" eb="4">
      <t>ダイ</t>
    </rPh>
    <rPh sb="5" eb="6">
      <t>キ</t>
    </rPh>
    <rPh sb="6" eb="9">
      <t>ヘイキンチ</t>
    </rPh>
    <rPh sb="10" eb="12">
      <t>レイワ</t>
    </rPh>
    <rPh sb="13" eb="15">
      <t>ネンド</t>
    </rPh>
    <rPh sb="16" eb="17">
      <t>アタイ</t>
    </rPh>
    <phoneticPr fontId="8"/>
  </si>
  <si>
    <t>※１：第8期平均値/令和2年度の値*100</t>
    <phoneticPr fontId="8"/>
  </si>
  <si>
    <t>※１：第8期平均値/令和2年度の値*100</t>
    <phoneticPr fontId="8"/>
  </si>
  <si>
    <t>６．受給率</t>
    <rPh sb="2" eb="3">
      <t>ウ</t>
    </rPh>
    <rPh sb="3" eb="4">
      <t>キュウ</t>
    </rPh>
    <rPh sb="4" eb="5">
      <t>リツ</t>
    </rPh>
    <phoneticPr fontId="3"/>
  </si>
  <si>
    <t>在宅サービス受給率</t>
    <rPh sb="0" eb="2">
      <t>ザイタク</t>
    </rPh>
    <phoneticPr fontId="8"/>
  </si>
  <si>
    <t>施設・居住系サービス受給率</t>
    <rPh sb="0" eb="2">
      <t>シセツ</t>
    </rPh>
    <rPh sb="3" eb="5">
      <t>キョジュウ</t>
    </rPh>
    <rPh sb="5" eb="6">
      <t>ケイ</t>
    </rPh>
    <rPh sb="10" eb="12">
      <t>ジュキュウ</t>
    </rPh>
    <rPh sb="12" eb="13">
      <t>リツ</t>
    </rPh>
    <phoneticPr fontId="8"/>
  </si>
  <si>
    <t>※左記グラフでは、在宅サービスおよび施設サービスの第1号被保険者1人あたりの給付月額のバランスについて、平成30年度～令和5年度の時系列推移を確認できます。</t>
    <rPh sb="1" eb="3">
      <t>サキ</t>
    </rPh>
    <rPh sb="9" eb="11">
      <t>ザイタク</t>
    </rPh>
    <rPh sb="18" eb="20">
      <t>シセツ</t>
    </rPh>
    <rPh sb="25" eb="26">
      <t>ダイ</t>
    </rPh>
    <rPh sb="27" eb="28">
      <t>ゴウ</t>
    </rPh>
    <rPh sb="28" eb="32">
      <t>ヒホケンジャ</t>
    </rPh>
    <rPh sb="33" eb="34">
      <t>ヒト</t>
    </rPh>
    <rPh sb="38" eb="42">
      <t>キュウフゲツガク</t>
    </rPh>
    <rPh sb="52" eb="54">
      <t>ヘイセイ</t>
    </rPh>
    <rPh sb="56" eb="58">
      <t>ネンド</t>
    </rPh>
    <rPh sb="59" eb="61">
      <t>レイワ</t>
    </rPh>
    <rPh sb="62" eb="64">
      <t>ネンド</t>
    </rPh>
    <rPh sb="65" eb="70">
      <t>ジケイレツスイイ</t>
    </rPh>
    <rPh sb="71" eb="73">
      <t>カクニン</t>
    </rPh>
    <phoneticPr fontId="8"/>
  </si>
  <si>
    <t>※左記グラフでは、在宅サービスおよび施設・居住系サービス受給率のバランスについて、平成30年度～令和5年度の時系列推移を確認できます。</t>
    <rPh sb="1" eb="3">
      <t>サキ</t>
    </rPh>
    <rPh sb="9" eb="11">
      <t>ザイタク</t>
    </rPh>
    <rPh sb="18" eb="20">
      <t>シセツ</t>
    </rPh>
    <rPh sb="21" eb="23">
      <t>キョジュウ</t>
    </rPh>
    <rPh sb="23" eb="24">
      <t>ケイ</t>
    </rPh>
    <rPh sb="28" eb="30">
      <t>ジュキュウ</t>
    </rPh>
    <rPh sb="30" eb="31">
      <t>リツ</t>
    </rPh>
    <rPh sb="41" eb="43">
      <t>ヘイセイ</t>
    </rPh>
    <rPh sb="45" eb="47">
      <t>ネンド</t>
    </rPh>
    <rPh sb="48" eb="50">
      <t>レイワ</t>
    </rPh>
    <rPh sb="51" eb="53">
      <t>ネンド</t>
    </rPh>
    <rPh sb="54" eb="59">
      <t>ジケイレツスイイ</t>
    </rPh>
    <rPh sb="60" eb="62">
      <t>カクニン</t>
    </rPh>
    <phoneticPr fontId="8"/>
  </si>
  <si>
    <t>　　　　　　　　　　　　　　　　　（補足）　在宅サービス受給率＝在宅サービス利用者数÷第1号被保険者数</t>
    <rPh sb="18" eb="20">
      <t>ホソク</t>
    </rPh>
    <rPh sb="38" eb="40">
      <t>リヨウ</t>
    </rPh>
    <rPh sb="40" eb="41">
      <t>シャ</t>
    </rPh>
    <rPh sb="41" eb="42">
      <t>スウ</t>
    </rPh>
    <rPh sb="43" eb="44">
      <t>ダイ</t>
    </rPh>
    <rPh sb="45" eb="46">
      <t>ゴウ</t>
    </rPh>
    <rPh sb="46" eb="50">
      <t>ヒホケンシャ</t>
    </rPh>
    <rPh sb="50" eb="51">
      <t>スウ</t>
    </rPh>
    <phoneticPr fontId="8"/>
  </si>
  <si>
    <t>　　　　　　　　　　　　                   　施設・居住系サービス受給率＝施設・居住系サービス利用者数÷第1号被保険者数</t>
    <rPh sb="56" eb="58">
      <t>リヨウ</t>
    </rPh>
    <rPh sb="58" eb="59">
      <t>シャ</t>
    </rPh>
    <rPh sb="59" eb="60">
      <t>スウ</t>
    </rPh>
    <rPh sb="61" eb="62">
      <t>ダイ</t>
    </rPh>
    <rPh sb="63" eb="64">
      <t>ゴウ</t>
    </rPh>
    <rPh sb="64" eb="68">
      <t>ヒホケンシャ</t>
    </rPh>
    <rPh sb="68" eb="69">
      <t>スウ</t>
    </rPh>
    <phoneticPr fontId="8"/>
  </si>
  <si>
    <t>７．介護保険料基準額（月額）</t>
    <rPh sb="2" eb="4">
      <t>カイゴ</t>
    </rPh>
    <rPh sb="4" eb="7">
      <t>ホケンリョウ</t>
    </rPh>
    <rPh sb="7" eb="9">
      <t>キジュン</t>
    </rPh>
    <rPh sb="9" eb="10">
      <t>ガク</t>
    </rPh>
    <rPh sb="11" eb="13">
      <t>ゲツガク</t>
    </rPh>
    <phoneticPr fontId="3"/>
  </si>
  <si>
    <t>８．介護保険料基準額（月額）の内訳</t>
    <rPh sb="2" eb="4">
      <t>カイゴ</t>
    </rPh>
    <rPh sb="4" eb="7">
      <t>ホケンリョウ</t>
    </rPh>
    <rPh sb="7" eb="9">
      <t>キジュン</t>
    </rPh>
    <rPh sb="9" eb="10">
      <t>ガク</t>
    </rPh>
    <rPh sb="11" eb="13">
      <t>ゲツガク</t>
    </rPh>
    <rPh sb="15" eb="17">
      <t>ウチワケ</t>
    </rPh>
    <phoneticPr fontId="3"/>
  </si>
  <si>
    <t>第8期</t>
    <rPh sb="0" eb="1">
      <t>ダイ</t>
    </rPh>
    <rPh sb="2" eb="3">
      <t>キ</t>
    </rPh>
    <phoneticPr fontId="3"/>
  </si>
  <si>
    <t>令和7年度</t>
    <rPh sb="0" eb="2">
      <t>レイワ</t>
    </rPh>
    <rPh sb="3" eb="4">
      <t>ネン</t>
    </rPh>
    <rPh sb="4" eb="5">
      <t>ド</t>
    </rPh>
    <phoneticPr fontId="3"/>
  </si>
  <si>
    <t>第8期</t>
    <rPh sb="0" eb="1">
      <t>ダイ</t>
    </rPh>
    <rPh sb="2" eb="3">
      <t>キ</t>
    </rPh>
    <phoneticPr fontId="8"/>
  </si>
  <si>
    <t>保険料基準額の伸び率（％） （※当該保険料基準額/第7期保険料*100）</t>
    <rPh sb="16" eb="18">
      <t>トウガイ</t>
    </rPh>
    <rPh sb="18" eb="21">
      <t>ホケンリョウ</t>
    </rPh>
    <rPh sb="21" eb="24">
      <t>キジュンガク</t>
    </rPh>
    <rPh sb="25" eb="26">
      <t>ダイ</t>
    </rPh>
    <phoneticPr fontId="3"/>
  </si>
  <si>
    <t>R7</t>
    <phoneticPr fontId="3"/>
  </si>
  <si>
    <t>R3～R5</t>
    <phoneticPr fontId="3"/>
  </si>
  <si>
    <t>R3</t>
    <phoneticPr fontId="3"/>
  </si>
  <si>
    <t>R4</t>
    <phoneticPr fontId="3"/>
  </si>
  <si>
    <t>R5</t>
    <phoneticPr fontId="3"/>
  </si>
  <si>
    <t>R7</t>
    <phoneticPr fontId="3"/>
  </si>
  <si>
    <t>１．７期保険料基準額</t>
    <rPh sb="3" eb="4">
      <t>キ</t>
    </rPh>
    <rPh sb="4" eb="7">
      <t>ホケンリョウ</t>
    </rPh>
    <rPh sb="7" eb="10">
      <t>キジュンガク</t>
    </rPh>
    <phoneticPr fontId="3"/>
  </si>
  <si>
    <t>第７期保険料の基準額（月額）</t>
    <rPh sb="0" eb="1">
      <t>ダイ</t>
    </rPh>
    <rPh sb="2" eb="3">
      <t>キ</t>
    </rPh>
    <rPh sb="3" eb="6">
      <t>ホケンリョウ</t>
    </rPh>
    <rPh sb="7" eb="9">
      <t>キジュン</t>
    </rPh>
    <rPh sb="9" eb="10">
      <t>ガク</t>
    </rPh>
    <rPh sb="11" eb="13">
      <t>ゲツガク</t>
    </rPh>
    <phoneticPr fontId="8"/>
  </si>
  <si>
    <t>85歳未満後期高齢者加入割合</t>
    <phoneticPr fontId="3"/>
  </si>
  <si>
    <t>85歳以上後期高齢者加入割合</t>
    <phoneticPr fontId="3"/>
  </si>
  <si>
    <t>85歳未満後期高齢者の要介護等発生率</t>
    <phoneticPr fontId="3"/>
  </si>
  <si>
    <t>85歳以上後期高齢者の要介護等発生率</t>
    <phoneticPr fontId="3"/>
  </si>
  <si>
    <t>調整率</t>
    <rPh sb="0" eb="2">
      <t>チョウセイ</t>
    </rPh>
    <rPh sb="2" eb="3">
      <t>リツ</t>
    </rPh>
    <phoneticPr fontId="2"/>
  </si>
  <si>
    <t>特別調整交付金の交付見込額</t>
  </si>
  <si>
    <t>総給付費</t>
    <phoneticPr fontId="8"/>
  </si>
  <si>
    <t>第８期</t>
  </si>
  <si>
    <t>未使用</t>
    <rPh sb="0" eb="3">
      <t>ミシヨウ</t>
    </rPh>
    <phoneticPr fontId="8"/>
  </si>
  <si>
    <t>出力後に入力</t>
    <phoneticPr fontId="3"/>
  </si>
  <si>
    <r>
      <t>保険料基準額の伸び率（％） （対</t>
    </r>
    <r>
      <rPr>
        <sz val="11"/>
        <rFont val="ＭＳ Ｐゴシック"/>
        <family val="3"/>
        <charset val="128"/>
        <scheme val="minor"/>
      </rPr>
      <t>７期</t>
    </r>
    <r>
      <rPr>
        <sz val="11"/>
        <rFont val="ＭＳ Ｐゴシック"/>
        <family val="2"/>
        <charset val="128"/>
        <scheme val="minor"/>
      </rPr>
      <t>保険料）</t>
    </r>
    <rPh sb="0" eb="3">
      <t>ホケンリョウ</t>
    </rPh>
    <rPh sb="3" eb="6">
      <t>キジュンガク</t>
    </rPh>
    <rPh sb="7" eb="8">
      <t>ノ</t>
    </rPh>
    <rPh sb="9" eb="10">
      <t>リツ</t>
    </rPh>
    <rPh sb="15" eb="16">
      <t>タイ</t>
    </rPh>
    <rPh sb="17" eb="18">
      <t>キ</t>
    </rPh>
    <rPh sb="18" eb="21">
      <t>ホケンリョウ</t>
    </rPh>
    <phoneticPr fontId="8"/>
  </si>
  <si>
    <r>
      <t>保険料基準額の伸び率（％） （対</t>
    </r>
    <r>
      <rPr>
        <sz val="11"/>
        <rFont val="ＭＳ Ｐゴシック"/>
        <family val="3"/>
        <charset val="128"/>
        <scheme val="minor"/>
      </rPr>
      <t>７期</t>
    </r>
    <r>
      <rPr>
        <sz val="11"/>
        <rFont val="ＭＳ Ｐゴシック"/>
        <family val="2"/>
        <charset val="128"/>
        <scheme val="minor"/>
      </rPr>
      <t>保険料）</t>
    </r>
    <rPh sb="0" eb="3">
      <t>ホケンリョウ</t>
    </rPh>
    <rPh sb="3" eb="6">
      <t>キジュンガク</t>
    </rPh>
    <rPh sb="7" eb="8">
      <t>ノ</t>
    </rPh>
    <rPh sb="9" eb="10">
      <t>リツ</t>
    </rPh>
    <phoneticPr fontId="8"/>
  </si>
  <si>
    <t>介護予防短期入所療養介護(介護医療院)</t>
    <phoneticPr fontId="8"/>
  </si>
  <si>
    <t>R12</t>
    <phoneticPr fontId="3"/>
  </si>
  <si>
    <t>R17</t>
    <phoneticPr fontId="3"/>
  </si>
  <si>
    <t>R22</t>
    <phoneticPr fontId="3"/>
  </si>
  <si>
    <t>令和12年度</t>
    <rPh sb="0" eb="2">
      <t>レイワ</t>
    </rPh>
    <rPh sb="4" eb="6">
      <t>ネンド</t>
    </rPh>
    <phoneticPr fontId="8"/>
  </si>
  <si>
    <t>令和17年度</t>
    <rPh sb="0" eb="2">
      <t>レイワ</t>
    </rPh>
    <rPh sb="4" eb="6">
      <t>ネンド</t>
    </rPh>
    <phoneticPr fontId="8"/>
  </si>
  <si>
    <t>令和22年度</t>
    <rPh sb="0" eb="2">
      <t>レイワ</t>
    </rPh>
    <rPh sb="4" eb="6">
      <t>ネンド</t>
    </rPh>
    <phoneticPr fontId="8"/>
  </si>
  <si>
    <t>令和12年度</t>
    <rPh sb="0" eb="2">
      <t>レイワ</t>
    </rPh>
    <rPh sb="4" eb="5">
      <t>ネン</t>
    </rPh>
    <rPh sb="5" eb="6">
      <t>ド</t>
    </rPh>
    <phoneticPr fontId="3"/>
  </si>
  <si>
    <t>令和17年度</t>
    <rPh sb="0" eb="2">
      <t>レイワ</t>
    </rPh>
    <rPh sb="4" eb="5">
      <t>ネン</t>
    </rPh>
    <rPh sb="5" eb="6">
      <t>ド</t>
    </rPh>
    <phoneticPr fontId="3"/>
  </si>
  <si>
    <t>令和22年度</t>
    <rPh sb="0" eb="2">
      <t>レイワ</t>
    </rPh>
    <rPh sb="4" eb="5">
      <t>ネン</t>
    </rPh>
    <rPh sb="5" eb="6">
      <t>ド</t>
    </rPh>
    <phoneticPr fontId="3"/>
  </si>
  <si>
    <t>令和12年度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</si>
  <si>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</si>
  <si>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令和22年度</t>
    <rPh sb="0" eb="2">
      <t>レイワ</t>
    </rPh>
    <rPh sb="4" eb="6">
      <t>ネンド</t>
    </rPh>
    <phoneticPr fontId="3"/>
  </si>
  <si>
    <t>令和12年度</t>
    <phoneticPr fontId="3"/>
  </si>
  <si>
    <t>令和17年度</t>
    <phoneticPr fontId="3"/>
  </si>
  <si>
    <t>令和22年度</t>
    <phoneticPr fontId="3"/>
  </si>
  <si>
    <t>令和12年度</t>
    <phoneticPr fontId="3"/>
  </si>
  <si>
    <t>令和17年度</t>
    <phoneticPr fontId="3"/>
  </si>
  <si>
    <t>令和22年度</t>
    <phoneticPr fontId="3"/>
  </si>
  <si>
    <t>2020/03/26</t>
  </si>
  <si>
    <t>第8期</t>
    <phoneticPr fontId="8"/>
  </si>
  <si>
    <t>後期高齢者加入割合補正係数（要介護等発生率による重み付け）</t>
    <phoneticPr fontId="3"/>
  </si>
  <si>
    <t>後期高齢者加入割合補正係数（1人あたり給付費による重み付け）</t>
    <phoneticPr fontId="3"/>
  </si>
  <si>
    <t>前期高齢者の1人あたり給付費</t>
    <phoneticPr fontId="3"/>
  </si>
  <si>
    <t>85歳未満後期高齢者の1人あたり給付費</t>
    <phoneticPr fontId="3"/>
  </si>
  <si>
    <t>85歳以上後期高齢者の1人あたり給付費</t>
    <phoneticPr fontId="3"/>
  </si>
  <si>
    <t>特定入所者介護サービス費等給付額</t>
    <phoneticPr fontId="3"/>
  </si>
  <si>
    <t>特定入所者介護サービス費等の見直しに伴う財政影響額</t>
    <phoneticPr fontId="3"/>
  </si>
  <si>
    <t>特定入所者介護サービス費等給付額（財政影響額調整後）</t>
    <phoneticPr fontId="8"/>
  </si>
  <si>
    <t>高額介護サービス費等給付額</t>
    <phoneticPr fontId="3"/>
  </si>
  <si>
    <t>高額介護サービス費等の見直しに伴う財政影響額</t>
    <phoneticPr fontId="3"/>
  </si>
  <si>
    <t>高額介護サービス費等給付額（財政影響額調整後）</t>
    <rPh sb="0" eb="2">
      <t>コウガク</t>
    </rPh>
    <rPh sb="2" eb="4">
      <t>カイゴ</t>
    </rPh>
    <rPh sb="8" eb="9">
      <t>ヒ</t>
    </rPh>
    <rPh sb="9" eb="10">
      <t>トウ</t>
    </rPh>
    <rPh sb="10" eb="13">
      <t>キュウフガク</t>
    </rPh>
    <rPh sb="14" eb="16">
      <t>ザイセイ</t>
    </rPh>
    <rPh sb="16" eb="19">
      <t>エイキョウガク</t>
    </rPh>
    <rPh sb="19" eb="22">
      <t>チョウセイゴ</t>
    </rPh>
    <phoneticPr fontId="8"/>
  </si>
  <si>
    <t>サービス種別・項目</t>
    <rPh sb="4" eb="6">
      <t>シュベツ</t>
    </rPh>
    <rPh sb="7" eb="9">
      <t>コウモク</t>
    </rPh>
    <phoneticPr fontId="3"/>
  </si>
  <si>
    <t>訪問介護相当サービス</t>
    <rPh sb="0" eb="2">
      <t>ホウモン</t>
    </rPh>
    <rPh sb="2" eb="4">
      <t>カイゴ</t>
    </rPh>
    <rPh sb="4" eb="6">
      <t>ソウトウ</t>
    </rPh>
    <phoneticPr fontId="3"/>
  </si>
  <si>
    <t>訪問型サービスA</t>
    <rPh sb="0" eb="2">
      <t>ホウモン</t>
    </rPh>
    <rPh sb="2" eb="3">
      <t>ガタ</t>
    </rPh>
    <phoneticPr fontId="3"/>
  </si>
  <si>
    <t>訪問型サービスB</t>
    <rPh sb="0" eb="2">
      <t>ホウモン</t>
    </rPh>
    <rPh sb="2" eb="3">
      <t>ガタ</t>
    </rPh>
    <phoneticPr fontId="3"/>
  </si>
  <si>
    <t>訪問型サービスC</t>
    <rPh sb="0" eb="2">
      <t>ホウモン</t>
    </rPh>
    <rPh sb="2" eb="3">
      <t>ガタ</t>
    </rPh>
    <phoneticPr fontId="3"/>
  </si>
  <si>
    <t>訪問型サービスD</t>
    <rPh sb="0" eb="2">
      <t>ホウモン</t>
    </rPh>
    <rPh sb="2" eb="3">
      <t>ガタ</t>
    </rPh>
    <phoneticPr fontId="3"/>
  </si>
  <si>
    <t>訪問型サービス(その他)</t>
    <rPh sb="0" eb="2">
      <t>ホウモン</t>
    </rPh>
    <rPh sb="2" eb="3">
      <t>ガタ</t>
    </rPh>
    <rPh sb="10" eb="11">
      <t>タ</t>
    </rPh>
    <phoneticPr fontId="3"/>
  </si>
  <si>
    <t>通所介護相当サービス</t>
    <rPh sb="2" eb="4">
      <t>カイゴ</t>
    </rPh>
    <rPh sb="4" eb="6">
      <t>ソウトウ</t>
    </rPh>
    <phoneticPr fontId="3"/>
  </si>
  <si>
    <t>通所型サービスA</t>
    <rPh sb="2" eb="3">
      <t>ガタ</t>
    </rPh>
    <phoneticPr fontId="3"/>
  </si>
  <si>
    <t>通所型サービスB</t>
    <rPh sb="2" eb="3">
      <t>ガタ</t>
    </rPh>
    <phoneticPr fontId="3"/>
  </si>
  <si>
    <t>通所型サービスC</t>
    <rPh sb="2" eb="3">
      <t>ガタ</t>
    </rPh>
    <phoneticPr fontId="3"/>
  </si>
  <si>
    <t>通所型サービス(その他)</t>
    <rPh sb="0" eb="2">
      <t>ツウショ</t>
    </rPh>
    <rPh sb="2" eb="3">
      <t>ガタ</t>
    </rPh>
    <rPh sb="10" eb="11">
      <t>タ</t>
    </rPh>
    <phoneticPr fontId="3"/>
  </si>
  <si>
    <t>栄養改善や見守りを目的とした配食</t>
    <rPh sb="0" eb="2">
      <t>エイヨウ</t>
    </rPh>
    <rPh sb="2" eb="4">
      <t>カイゼン</t>
    </rPh>
    <rPh sb="5" eb="7">
      <t>ミマモ</t>
    </rPh>
    <rPh sb="9" eb="11">
      <t>モクテキ</t>
    </rPh>
    <rPh sb="14" eb="16">
      <t>ハイショク</t>
    </rPh>
    <phoneticPr fontId="3"/>
  </si>
  <si>
    <t>定期的な安否確認、緊急時の対応、住民ボランティア等の見守り</t>
    <rPh sb="0" eb="3">
      <t>テイキテキ</t>
    </rPh>
    <rPh sb="4" eb="6">
      <t>アンピ</t>
    </rPh>
    <rPh sb="6" eb="8">
      <t>カクニン</t>
    </rPh>
    <rPh sb="9" eb="12">
      <t>キンキュウジ</t>
    </rPh>
    <rPh sb="13" eb="15">
      <t>タイオウ</t>
    </rPh>
    <rPh sb="16" eb="18">
      <t>ジュウミン</t>
    </rPh>
    <rPh sb="24" eb="25">
      <t>トウ</t>
    </rPh>
    <rPh sb="26" eb="28">
      <t>ミマモ</t>
    </rPh>
    <phoneticPr fontId="3"/>
  </si>
  <si>
    <t>その他、訪問型サービス・通所型サービスの一体的提供等</t>
    <rPh sb="2" eb="3">
      <t>タ</t>
    </rPh>
    <rPh sb="4" eb="6">
      <t>ホウモン</t>
    </rPh>
    <rPh sb="6" eb="7">
      <t>ガタ</t>
    </rPh>
    <rPh sb="12" eb="14">
      <t>ツウショ</t>
    </rPh>
    <rPh sb="14" eb="15">
      <t>ガタ</t>
    </rPh>
    <rPh sb="20" eb="23">
      <t>イッタイテキ</t>
    </rPh>
    <rPh sb="23" eb="25">
      <t>テイキョウ</t>
    </rPh>
    <rPh sb="25" eb="26">
      <t>ナド</t>
    </rPh>
    <phoneticPr fontId="3"/>
  </si>
  <si>
    <t>介護予防ケアマネジメント</t>
    <rPh sb="0" eb="2">
      <t>カイゴ</t>
    </rPh>
    <rPh sb="2" eb="4">
      <t>ヨボウ</t>
    </rPh>
    <phoneticPr fontId="3"/>
  </si>
  <si>
    <t>介護予防把握事業</t>
    <rPh sb="0" eb="2">
      <t>カイゴ</t>
    </rPh>
    <rPh sb="2" eb="4">
      <t>ヨボウ</t>
    </rPh>
    <rPh sb="4" eb="6">
      <t>ハアク</t>
    </rPh>
    <rPh sb="6" eb="8">
      <t>ジギョウ</t>
    </rPh>
    <phoneticPr fontId="3"/>
  </si>
  <si>
    <t>介護予防普及啓発事業</t>
    <rPh sb="0" eb="2">
      <t>カイゴ</t>
    </rPh>
    <rPh sb="2" eb="4">
      <t>ヨボウ</t>
    </rPh>
    <rPh sb="4" eb="6">
      <t>フキュウ</t>
    </rPh>
    <rPh sb="6" eb="8">
      <t>ケイハツ</t>
    </rPh>
    <rPh sb="8" eb="10">
      <t>ジギョウ</t>
    </rPh>
    <phoneticPr fontId="3"/>
  </si>
  <si>
    <t>地域介護予防活動支援事業</t>
    <rPh sb="0" eb="2">
      <t>チイキ</t>
    </rPh>
    <rPh sb="2" eb="4">
      <t>カイゴ</t>
    </rPh>
    <rPh sb="4" eb="6">
      <t>ヨボウ</t>
    </rPh>
    <rPh sb="6" eb="8">
      <t>カツドウ</t>
    </rPh>
    <rPh sb="8" eb="10">
      <t>シエン</t>
    </rPh>
    <rPh sb="10" eb="12">
      <t>ジギョウ</t>
    </rPh>
    <phoneticPr fontId="3"/>
  </si>
  <si>
    <t>一般介護予防事業評価事業</t>
    <rPh sb="0" eb="2">
      <t>イッパン</t>
    </rPh>
    <rPh sb="2" eb="4">
      <t>カイゴ</t>
    </rPh>
    <rPh sb="4" eb="6">
      <t>ヨボウ</t>
    </rPh>
    <rPh sb="6" eb="8">
      <t>ジギョウ</t>
    </rPh>
    <rPh sb="8" eb="10">
      <t>ヒョウカ</t>
    </rPh>
    <rPh sb="10" eb="12">
      <t>ジギョウ</t>
    </rPh>
    <phoneticPr fontId="3"/>
  </si>
  <si>
    <t>地域リハビリテーション活動支援事業</t>
    <rPh sb="0" eb="2">
      <t>チイキ</t>
    </rPh>
    <rPh sb="11" eb="13">
      <t>カツドウ</t>
    </rPh>
    <rPh sb="13" eb="15">
      <t>シエン</t>
    </rPh>
    <rPh sb="15" eb="17">
      <t>ジギョウ</t>
    </rPh>
    <phoneticPr fontId="3"/>
  </si>
  <si>
    <t>上記以外の介護予防・日常生活総合事業</t>
    <rPh sb="0" eb="2">
      <t>ジョウキ</t>
    </rPh>
    <rPh sb="2" eb="4">
      <t>イガイ</t>
    </rPh>
    <rPh sb="5" eb="7">
      <t>カイゴ</t>
    </rPh>
    <rPh sb="7" eb="9">
      <t>ヨボウ</t>
    </rPh>
    <rPh sb="10" eb="12">
      <t>ニチジョウ</t>
    </rPh>
    <rPh sb="12" eb="14">
      <t>セイカツ</t>
    </rPh>
    <rPh sb="14" eb="16">
      <t>ソウゴウ</t>
    </rPh>
    <rPh sb="16" eb="18">
      <t>ジギョウ</t>
    </rPh>
    <phoneticPr fontId="3"/>
  </si>
  <si>
    <t>包括的支援事業(地域包括支援センターの運営)</t>
    <rPh sb="0" eb="2">
      <t>ホウカツ</t>
    </rPh>
    <rPh sb="2" eb="3">
      <t>テキ</t>
    </rPh>
    <rPh sb="3" eb="5">
      <t>シエン</t>
    </rPh>
    <rPh sb="5" eb="7">
      <t>ジギョウ</t>
    </rPh>
    <rPh sb="8" eb="10">
      <t>チイキ</t>
    </rPh>
    <rPh sb="10" eb="12">
      <t>ホウカツ</t>
    </rPh>
    <rPh sb="12" eb="14">
      <t>シエン</t>
    </rPh>
    <rPh sb="19" eb="21">
      <t>ウンエイ</t>
    </rPh>
    <phoneticPr fontId="3"/>
  </si>
  <si>
    <t>任意事業</t>
    <rPh sb="0" eb="2">
      <t>ニンイ</t>
    </rPh>
    <rPh sb="2" eb="4">
      <t>ジギョウ</t>
    </rPh>
    <phoneticPr fontId="3"/>
  </si>
  <si>
    <t>在宅医療・介護連携推進事業</t>
    <rPh sb="0" eb="2">
      <t>ザイタク</t>
    </rPh>
    <rPh sb="2" eb="4">
      <t>イリョウ</t>
    </rPh>
    <rPh sb="5" eb="7">
      <t>カイゴ</t>
    </rPh>
    <rPh sb="7" eb="9">
      <t>レンケイ</t>
    </rPh>
    <rPh sb="9" eb="11">
      <t>スイシン</t>
    </rPh>
    <rPh sb="11" eb="13">
      <t>ジギョウ</t>
    </rPh>
    <phoneticPr fontId="3"/>
  </si>
  <si>
    <t>生活支援体制整備事業</t>
    <rPh sb="0" eb="2">
      <t>セイカツ</t>
    </rPh>
    <rPh sb="2" eb="4">
      <t>シエン</t>
    </rPh>
    <rPh sb="4" eb="6">
      <t>タイセイ</t>
    </rPh>
    <rPh sb="6" eb="8">
      <t>セイビ</t>
    </rPh>
    <rPh sb="8" eb="10">
      <t>ジギョウ</t>
    </rPh>
    <phoneticPr fontId="3"/>
  </si>
  <si>
    <t>認知症初期集中支援推進事業</t>
    <rPh sb="0" eb="3">
      <t>ニンチショウ</t>
    </rPh>
    <rPh sb="3" eb="5">
      <t>ショキ</t>
    </rPh>
    <rPh sb="5" eb="7">
      <t>シュウチュウ</t>
    </rPh>
    <rPh sb="7" eb="9">
      <t>シエン</t>
    </rPh>
    <rPh sb="9" eb="11">
      <t>スイシン</t>
    </rPh>
    <rPh sb="11" eb="13">
      <t>ジギョウ</t>
    </rPh>
    <phoneticPr fontId="3"/>
  </si>
  <si>
    <t>認知症地域支援・ケア向上事業</t>
    <rPh sb="0" eb="3">
      <t>ニンチショウ</t>
    </rPh>
    <rPh sb="3" eb="5">
      <t>チイキ</t>
    </rPh>
    <rPh sb="5" eb="7">
      <t>シエン</t>
    </rPh>
    <rPh sb="10" eb="12">
      <t>コウジョウ</t>
    </rPh>
    <rPh sb="12" eb="14">
      <t>ジギョウ</t>
    </rPh>
    <phoneticPr fontId="3"/>
  </si>
  <si>
    <t>地域ケア会議推進事業</t>
    <rPh sb="0" eb="2">
      <t>チイキ</t>
    </rPh>
    <rPh sb="4" eb="6">
      <t>カイギ</t>
    </rPh>
    <rPh sb="6" eb="8">
      <t>スイシン</t>
    </rPh>
    <rPh sb="8" eb="10">
      <t>ジギョウ</t>
    </rPh>
    <phoneticPr fontId="3"/>
  </si>
  <si>
    <t>介護予防・日常生活支援総合事業費</t>
    <phoneticPr fontId="3"/>
  </si>
  <si>
    <t>包括的支援事業（社会保障充実分）</t>
    <phoneticPr fontId="3"/>
  </si>
  <si>
    <t>地域支援事業費</t>
    <rPh sb="0" eb="2">
      <t>チイキ</t>
    </rPh>
    <rPh sb="2" eb="4">
      <t>シエン</t>
    </rPh>
    <rPh sb="4" eb="7">
      <t>ジギョウヒ</t>
    </rPh>
    <phoneticPr fontId="3"/>
  </si>
  <si>
    <t>R12</t>
    <phoneticPr fontId="3"/>
  </si>
  <si>
    <t>１．介護予防・日常生活支援総合事業</t>
    <rPh sb="2" eb="4">
      <t>カイゴ</t>
    </rPh>
    <rPh sb="4" eb="6">
      <t>ヨボウ</t>
    </rPh>
    <rPh sb="7" eb="9">
      <t>ニチジョウ</t>
    </rPh>
    <rPh sb="9" eb="11">
      <t>セイカツ</t>
    </rPh>
    <rPh sb="11" eb="13">
      <t>シエン</t>
    </rPh>
    <rPh sb="13" eb="15">
      <t>ソウゴウ</t>
    </rPh>
    <rPh sb="15" eb="17">
      <t>ジギョウ</t>
    </rPh>
    <phoneticPr fontId="3"/>
  </si>
  <si>
    <t>３．包括的支援事業（社会保障充実分）</t>
    <rPh sb="2" eb="5">
      <t>ホウカツテキ</t>
    </rPh>
    <rPh sb="5" eb="7">
      <t>シエン</t>
    </rPh>
    <rPh sb="7" eb="9">
      <t>ジギョウ</t>
    </rPh>
    <rPh sb="10" eb="12">
      <t>シャカイ</t>
    </rPh>
    <rPh sb="12" eb="14">
      <t>ホショウ</t>
    </rPh>
    <rPh sb="14" eb="16">
      <t>ジュウジツ</t>
    </rPh>
    <rPh sb="16" eb="17">
      <t>ブン</t>
    </rPh>
    <phoneticPr fontId="3"/>
  </si>
  <si>
    <t>４．地域支援事業費計</t>
    <rPh sb="2" eb="4">
      <t>チイキ</t>
    </rPh>
    <rPh sb="4" eb="6">
      <t>シエン</t>
    </rPh>
    <rPh sb="6" eb="9">
      <t>ジギョウヒ</t>
    </rPh>
    <rPh sb="9" eb="10">
      <t>ケイ</t>
    </rPh>
    <phoneticPr fontId="3"/>
  </si>
  <si>
    <t>R5</t>
    <phoneticPr fontId="3"/>
  </si>
  <si>
    <t>第8期</t>
    <phoneticPr fontId="3"/>
  </si>
  <si>
    <t>第8期</t>
    <phoneticPr fontId="3"/>
  </si>
  <si>
    <t>包括的支援事業（社会保障充実分）</t>
    <rPh sb="0" eb="3">
      <t>ホウカツテキ</t>
    </rPh>
    <rPh sb="3" eb="5">
      <t>シエン</t>
    </rPh>
    <rPh sb="5" eb="7">
      <t>ジギョウ</t>
    </rPh>
    <rPh sb="8" eb="10">
      <t>シャカイ</t>
    </rPh>
    <rPh sb="10" eb="12">
      <t>ホショウ</t>
    </rPh>
    <rPh sb="12" eb="14">
      <t>ジュウジツ</t>
    </rPh>
    <rPh sb="14" eb="15">
      <t>ブン</t>
    </rPh>
    <phoneticPr fontId="3"/>
  </si>
  <si>
    <t>地域支援事業の施策反映の経緯</t>
    <rPh sb="7" eb="9">
      <t>シサク</t>
    </rPh>
    <rPh sb="9" eb="11">
      <t>ハンエイ</t>
    </rPh>
    <rPh sb="12" eb="14">
      <t>ケイイ</t>
    </rPh>
    <phoneticPr fontId="3"/>
  </si>
  <si>
    <t>５．地域支援事業の見込み量推計</t>
    <rPh sb="2" eb="4">
      <t>チイキ</t>
    </rPh>
    <rPh sb="4" eb="6">
      <t>シエン</t>
    </rPh>
    <rPh sb="6" eb="8">
      <t>ジギョウ</t>
    </rPh>
    <rPh sb="9" eb="11">
      <t>ミコ</t>
    </rPh>
    <rPh sb="12" eb="13">
      <t>リョウ</t>
    </rPh>
    <rPh sb="13" eb="15">
      <t>スイケイ</t>
    </rPh>
    <phoneticPr fontId="3"/>
  </si>
  <si>
    <t>（３）地域支援事業費</t>
    <rPh sb="3" eb="5">
      <t>チイキ</t>
    </rPh>
    <rPh sb="5" eb="7">
      <t>シエン</t>
    </rPh>
    <rPh sb="7" eb="10">
      <t>ジギョウヒ</t>
    </rPh>
    <phoneticPr fontId="8"/>
  </si>
  <si>
    <t>（４）施策反映の内容</t>
    <rPh sb="3" eb="5">
      <t>シサク</t>
    </rPh>
    <rPh sb="5" eb="7">
      <t>ハンエイ</t>
    </rPh>
    <rPh sb="8" eb="10">
      <t>ナイヨウ</t>
    </rPh>
    <phoneticPr fontId="3"/>
  </si>
  <si>
    <t>（５）第１号被保険者の保険料推計</t>
    <rPh sb="3" eb="4">
      <t>ダイ</t>
    </rPh>
    <rPh sb="5" eb="6">
      <t>ゴウ</t>
    </rPh>
    <rPh sb="6" eb="10">
      <t>ヒホケンシャ</t>
    </rPh>
    <rPh sb="11" eb="14">
      <t>ホケンリョウ</t>
    </rPh>
    <rPh sb="14" eb="16">
      <t>スイケイ</t>
    </rPh>
    <phoneticPr fontId="8"/>
  </si>
  <si>
    <t>(利用者数：人)</t>
  </si>
  <si>
    <t>(利用者数：人)</t>
    <rPh sb="1" eb="3">
      <t>リヨウ</t>
    </rPh>
    <rPh sb="3" eb="4">
      <t>シャ</t>
    </rPh>
    <rPh sb="4" eb="5">
      <t>スウ</t>
    </rPh>
    <rPh sb="6" eb="7">
      <t>ニン</t>
    </rPh>
    <phoneticPr fontId="3"/>
  </si>
  <si>
    <t>単位：円</t>
    <rPh sb="3" eb="4">
      <t>エン</t>
    </rPh>
    <phoneticPr fontId="3"/>
  </si>
  <si>
    <t>単位：円(括弧書きの数値を除く)</t>
    <rPh sb="3" eb="4">
      <t>エン</t>
    </rPh>
    <rPh sb="5" eb="7">
      <t>カッコ</t>
    </rPh>
    <rPh sb="7" eb="8">
      <t>ガ</t>
    </rPh>
    <rPh sb="10" eb="12">
      <t>スウチ</t>
    </rPh>
    <rPh sb="13" eb="14">
      <t>ノゾ</t>
    </rPh>
    <phoneticPr fontId="3"/>
  </si>
  <si>
    <t>H30</t>
    <phoneticPr fontId="3"/>
  </si>
  <si>
    <t>R1</t>
    <phoneticPr fontId="3"/>
  </si>
  <si>
    <t>R2</t>
    <phoneticPr fontId="3"/>
  </si>
  <si>
    <t>５．介護離職ゼロサービスのサービス見込量と必要整備量（参考）</t>
    <rPh sb="2" eb="4">
      <t>カイゴ</t>
    </rPh>
    <rPh sb="4" eb="6">
      <t>リショク</t>
    </rPh>
    <rPh sb="17" eb="19">
      <t>ミコミ</t>
    </rPh>
    <rPh sb="19" eb="20">
      <t>リョウ</t>
    </rPh>
    <rPh sb="21" eb="23">
      <t>ヒツヨウ</t>
    </rPh>
    <rPh sb="23" eb="25">
      <t>セイビ</t>
    </rPh>
    <rPh sb="25" eb="26">
      <t>リョウ</t>
    </rPh>
    <rPh sb="27" eb="29">
      <t>サンコウ</t>
    </rPh>
    <phoneticPr fontId="3"/>
  </si>
  <si>
    <t>実績及びサービス見込量</t>
    <rPh sb="0" eb="2">
      <t>ジッセキ</t>
    </rPh>
    <rPh sb="2" eb="3">
      <t>オヨ</t>
    </rPh>
    <rPh sb="8" eb="10">
      <t>ミコミ</t>
    </rPh>
    <rPh sb="10" eb="11">
      <t>リョウ</t>
    </rPh>
    <phoneticPr fontId="3"/>
  </si>
  <si>
    <t>必要整備量</t>
    <rPh sb="0" eb="2">
      <t>ヒツヨウ</t>
    </rPh>
    <rPh sb="2" eb="4">
      <t>セイビ</t>
    </rPh>
    <rPh sb="4" eb="5">
      <t>リョウ</t>
    </rPh>
    <phoneticPr fontId="3"/>
  </si>
  <si>
    <t>令和3年度
※５</t>
    <rPh sb="0" eb="2">
      <t>レイワ</t>
    </rPh>
    <rPh sb="3" eb="5">
      <t>ネンド</t>
    </rPh>
    <phoneticPr fontId="8"/>
  </si>
  <si>
    <t>令和4年度
※５</t>
    <rPh sb="0" eb="2">
      <t>レイワ</t>
    </rPh>
    <rPh sb="3" eb="5">
      <t>ネンド</t>
    </rPh>
    <phoneticPr fontId="8"/>
  </si>
  <si>
    <t>令和5年度
※５</t>
    <rPh sb="0" eb="2">
      <t>レイワ</t>
    </rPh>
    <rPh sb="3" eb="5">
      <t>ネンド</t>
    </rPh>
    <phoneticPr fontId="8"/>
  </si>
  <si>
    <t>介護離職ゼロサービス※３</t>
    <rPh sb="0" eb="2">
      <t>カイゴ</t>
    </rPh>
    <rPh sb="2" eb="4">
      <t>リショク</t>
    </rPh>
    <phoneticPr fontId="3"/>
  </si>
  <si>
    <t>※３：介護離職ゼロサービスは、介護老人福祉施設（地域密着含む。）、介護老人保健施設、介護医療院、介護療養型医療施設、小規模多機能型居宅介護（介護予防含む。）、看護小規模多機能型居宅介護、定期巡回・随時対応型訪問介護看護、認知症対応型共同生活介護（介護予防含む。）及び特定施設入居者生活介護（地域密着、介護予防含む。）。</t>
    <rPh sb="3" eb="5">
      <t>カイゴ</t>
    </rPh>
    <rPh sb="5" eb="7">
      <t>リショク</t>
    </rPh>
    <rPh sb="15" eb="17">
      <t>カイゴ</t>
    </rPh>
    <rPh sb="17" eb="19">
      <t>ロウジン</t>
    </rPh>
    <rPh sb="19" eb="21">
      <t>フクシ</t>
    </rPh>
    <rPh sb="21" eb="23">
      <t>シセツ</t>
    </rPh>
    <rPh sb="24" eb="26">
      <t>チイキ</t>
    </rPh>
    <rPh sb="26" eb="28">
      <t>ミッチャク</t>
    </rPh>
    <rPh sb="28" eb="29">
      <t>フク</t>
    </rPh>
    <rPh sb="33" eb="35">
      <t>カイゴ</t>
    </rPh>
    <rPh sb="35" eb="37">
      <t>ロウジン</t>
    </rPh>
    <rPh sb="37" eb="39">
      <t>ホケン</t>
    </rPh>
    <rPh sb="39" eb="41">
      <t>シセツ</t>
    </rPh>
    <rPh sb="42" eb="44">
      <t>カイゴ</t>
    </rPh>
    <rPh sb="44" eb="46">
      <t>イリョウ</t>
    </rPh>
    <rPh sb="46" eb="47">
      <t>イン</t>
    </rPh>
    <rPh sb="48" eb="50">
      <t>カイゴ</t>
    </rPh>
    <rPh sb="50" eb="53">
      <t>リョウヨウガタ</t>
    </rPh>
    <rPh sb="53" eb="55">
      <t>イリョウ</t>
    </rPh>
    <rPh sb="55" eb="57">
      <t>シセツ</t>
    </rPh>
    <rPh sb="123" eb="125">
      <t>カイゴ</t>
    </rPh>
    <rPh sb="125" eb="127">
      <t>ヨボウ</t>
    </rPh>
    <rPh sb="127" eb="128">
      <t>フク</t>
    </rPh>
    <rPh sb="131" eb="132">
      <t>オヨ</t>
    </rPh>
    <rPh sb="145" eb="147">
      <t>チイキ</t>
    </rPh>
    <rPh sb="147" eb="149">
      <t>ミッチャク</t>
    </rPh>
    <rPh sb="150" eb="152">
      <t>カイゴ</t>
    </rPh>
    <rPh sb="152" eb="154">
      <t>ヨボウ</t>
    </rPh>
    <rPh sb="154" eb="155">
      <t>フク</t>
    </rPh>
    <phoneticPr fontId="3"/>
  </si>
  <si>
    <t>※４：介護離職ゼロサービスの平成30年度平均利用者数（平成30年4月サービス～平成31年3月サービス/12ヶ月）に対する平成30年度の最大月の利用者数（平成30年4月サービス～平成31年3月サービスのうち最大月）の比率</t>
    <rPh sb="20" eb="22">
      <t>ヘイキン</t>
    </rPh>
    <rPh sb="22" eb="25">
      <t>リヨウシャ</t>
    </rPh>
    <rPh sb="25" eb="26">
      <t>スウ</t>
    </rPh>
    <rPh sb="71" eb="74">
      <t>リヨウシャ</t>
    </rPh>
    <rPh sb="74" eb="75">
      <t>スウ</t>
    </rPh>
    <phoneticPr fontId="3"/>
  </si>
  <si>
    <t>※５：サービス見込量×最大利用月比率</t>
    <phoneticPr fontId="3"/>
  </si>
  <si>
    <t>※事業費は年間累計の金額。人数は１月当たりの利用者数。</t>
    <rPh sb="1" eb="3">
      <t>ジギョウ</t>
    </rPh>
    <phoneticPr fontId="3"/>
  </si>
  <si>
    <r>
      <t>※２：令和7</t>
    </r>
    <r>
      <rPr>
        <sz val="10"/>
        <rFont val="ＭＳ Ｐゴシック"/>
        <family val="3"/>
        <charset val="128"/>
        <scheme val="minor"/>
      </rPr>
      <t>（12,17,22）</t>
    </r>
    <r>
      <rPr>
        <sz val="10"/>
        <rFont val="ＭＳ Ｐゴシック"/>
        <family val="2"/>
        <charset val="128"/>
        <scheme val="minor"/>
      </rPr>
      <t>年度の値/令和2年度の値*100</t>
    </r>
    <rPh sb="3" eb="5">
      <t>レイワ</t>
    </rPh>
    <rPh sb="16" eb="18">
      <t>ネンド</t>
    </rPh>
    <rPh sb="19" eb="20">
      <t>アタイ</t>
    </rPh>
    <rPh sb="21" eb="23">
      <t>レイワ</t>
    </rPh>
    <rPh sb="24" eb="26">
      <t>ネンド</t>
    </rPh>
    <rPh sb="27" eb="28">
      <t>アタイ</t>
    </rPh>
    <phoneticPr fontId="8"/>
  </si>
  <si>
    <r>
      <t>※２：令和7</t>
    </r>
    <r>
      <rPr>
        <sz val="10"/>
        <rFont val="ＭＳ Ｐゴシック"/>
        <family val="3"/>
        <charset val="128"/>
        <scheme val="minor"/>
      </rPr>
      <t>（12,17,22）</t>
    </r>
    <r>
      <rPr>
        <sz val="10"/>
        <rFont val="ＭＳ Ｐゴシック"/>
        <family val="2"/>
        <charset val="128"/>
        <scheme val="minor"/>
      </rPr>
      <t>年度の値/令和2年度の値*100</t>
    </r>
    <phoneticPr fontId="8"/>
  </si>
  <si>
    <t>※２：令和7（12,17,22）年度の値/令和2年度の値*100</t>
    <rPh sb="3" eb="5">
      <t>レイワ</t>
    </rPh>
    <rPh sb="16" eb="18">
      <t>ネンド</t>
    </rPh>
    <rPh sb="19" eb="20">
      <t>アタイ</t>
    </rPh>
    <rPh sb="21" eb="23">
      <t>レイワ</t>
    </rPh>
    <rPh sb="24" eb="26">
      <t>ネンド</t>
    </rPh>
    <rPh sb="27" eb="28">
      <t>アタイ</t>
    </rPh>
    <phoneticPr fontId="8"/>
  </si>
  <si>
    <r>
      <t>最大利用月比率</t>
    </r>
    <r>
      <rPr>
        <sz val="10"/>
        <rFont val="ＭＳ Ｐゴシック"/>
        <family val="3"/>
        <charset val="128"/>
        <scheme val="minor"/>
      </rPr>
      <t>（年度平均に対する最大利用月の比率）※４</t>
    </r>
    <rPh sb="0" eb="2">
      <t>サイダイ</t>
    </rPh>
    <rPh sb="2" eb="4">
      <t>リヨウ</t>
    </rPh>
    <rPh sb="4" eb="5">
      <t>ツキ</t>
    </rPh>
    <rPh sb="5" eb="6">
      <t>ヒ</t>
    </rPh>
    <rPh sb="6" eb="7">
      <t>リツ</t>
    </rPh>
    <rPh sb="13" eb="14">
      <t>タイ</t>
    </rPh>
    <rPh sb="22" eb="23">
      <t>ヒ</t>
    </rPh>
    <rPh sb="23" eb="24">
      <t>リツ</t>
    </rPh>
    <phoneticPr fontId="3"/>
  </si>
  <si>
    <t>２．包括的支援事業（地域包括支援センターの運営）及び任意事業</t>
    <rPh sb="2" eb="5">
      <t>ホウカツテキ</t>
    </rPh>
    <rPh sb="5" eb="7">
      <t>シエン</t>
    </rPh>
    <rPh sb="7" eb="9">
      <t>ジギョウ</t>
    </rPh>
    <rPh sb="24" eb="25">
      <t>オヨ</t>
    </rPh>
    <rPh sb="26" eb="28">
      <t>ニンイ</t>
    </rPh>
    <rPh sb="28" eb="30">
      <t>ジギョウ</t>
    </rPh>
    <phoneticPr fontId="3"/>
  </si>
  <si>
    <t>包括的支援事業（地域包括支援センターの運営）及び任意事業費</t>
    <phoneticPr fontId="3"/>
  </si>
  <si>
    <r>
      <t>包括的支援事業</t>
    </r>
    <r>
      <rPr>
        <sz val="11"/>
        <rFont val="ＭＳ Ｐゴシック"/>
        <family val="3"/>
        <charset val="128"/>
        <scheme val="minor"/>
      </rPr>
      <t>（地域包括支援センターの運営）及び</t>
    </r>
    <r>
      <rPr>
        <sz val="11"/>
        <rFont val="ＭＳ Ｐゴシック"/>
        <family val="2"/>
        <charset val="128"/>
        <scheme val="minor"/>
      </rPr>
      <t>任意事業費</t>
    </r>
    <rPh sb="0" eb="3">
      <t>ホウカツテキ</t>
    </rPh>
    <rPh sb="3" eb="5">
      <t>シエン</t>
    </rPh>
    <rPh sb="5" eb="7">
      <t>ジギョウ</t>
    </rPh>
    <rPh sb="24" eb="26">
      <t>ニンイ</t>
    </rPh>
    <rPh sb="26" eb="29">
      <t>ジギョウヒ</t>
    </rPh>
    <phoneticPr fontId="3"/>
  </si>
  <si>
    <t>６．調整交付金見込額</t>
    <rPh sb="2" eb="4">
      <t>チョウセイ</t>
    </rPh>
    <rPh sb="4" eb="7">
      <t>コウフキン</t>
    </rPh>
    <rPh sb="7" eb="9">
      <t>ミコミ</t>
    </rPh>
    <rPh sb="9" eb="10">
      <t>ガク</t>
    </rPh>
    <phoneticPr fontId="3"/>
  </si>
  <si>
    <t>一定以上所得者の利用者負担の見直しに伴う財政影響補正係数</t>
    <rPh sb="0" eb="2">
      <t>イッテイ</t>
    </rPh>
    <rPh sb="2" eb="4">
      <t>イジョウ</t>
    </rPh>
    <rPh sb="4" eb="6">
      <t>ショトク</t>
    </rPh>
    <rPh sb="6" eb="7">
      <t>シャ</t>
    </rPh>
    <rPh sb="18" eb="19">
      <t>トモナ</t>
    </rPh>
    <rPh sb="20" eb="22">
      <t>ザイセイ</t>
    </rPh>
    <rPh sb="22" eb="24">
      <t>エイキョウ</t>
    </rPh>
    <rPh sb="24" eb="26">
      <t>ホセイ</t>
    </rPh>
    <rPh sb="26" eb="28">
      <t>ケイスウ</t>
    </rPh>
    <phoneticPr fontId="32"/>
  </si>
  <si>
    <t>特定入所者介護サービス費等の見直しに伴う財政影響補正係数</t>
    <rPh sb="0" eb="2">
      <t>トクテイ</t>
    </rPh>
    <rPh sb="2" eb="5">
      <t>ニュウショシャ</t>
    </rPh>
    <rPh sb="5" eb="7">
      <t>カイゴ</t>
    </rPh>
    <rPh sb="11" eb="12">
      <t>ヒ</t>
    </rPh>
    <rPh sb="12" eb="13">
      <t>トウ</t>
    </rPh>
    <rPh sb="14" eb="16">
      <t>ミナオ</t>
    </rPh>
    <rPh sb="18" eb="19">
      <t>トモナ</t>
    </rPh>
    <rPh sb="20" eb="22">
      <t>ザイセイ</t>
    </rPh>
    <rPh sb="22" eb="24">
      <t>エイキョウ</t>
    </rPh>
    <rPh sb="24" eb="26">
      <t>ホセイ</t>
    </rPh>
    <rPh sb="26" eb="28">
      <t>ケイスウ</t>
    </rPh>
    <phoneticPr fontId="32"/>
  </si>
  <si>
    <t>認知症サポーター活動促進・地域づくり推進事業</t>
    <phoneticPr fontId="3"/>
  </si>
  <si>
    <t>所得段階別加入割合補正係数の算出に係る係数（全国値）（％）　（確定値）</t>
    <rPh sb="0" eb="2">
      <t>ショトク</t>
    </rPh>
    <rPh sb="2" eb="4">
      <t>ダンカイ</t>
    </rPh>
    <rPh sb="4" eb="5">
      <t>ベツ</t>
    </rPh>
    <rPh sb="5" eb="7">
      <t>カニュウ</t>
    </rPh>
    <rPh sb="7" eb="9">
      <t>ワリアイ</t>
    </rPh>
    <rPh sb="9" eb="11">
      <t>ホセイ</t>
    </rPh>
    <rPh sb="11" eb="13">
      <t>ケイスウ</t>
    </rPh>
    <rPh sb="14" eb="16">
      <t>サンシュツ</t>
    </rPh>
    <rPh sb="17" eb="18">
      <t>カカ</t>
    </rPh>
    <rPh sb="19" eb="21">
      <t>ケイスウ</t>
    </rPh>
    <rPh sb="22" eb="24">
      <t>ゼンコク</t>
    </rPh>
    <rPh sb="24" eb="25">
      <t>チ</t>
    </rPh>
    <rPh sb="31" eb="33">
      <t>カクテイ</t>
    </rPh>
    <phoneticPr fontId="3"/>
  </si>
  <si>
    <t>後期高齢者加入割合補正係数の算出に係る係数（全国値）　（確定値）</t>
    <rPh sb="28" eb="30">
      <t>カクテイ</t>
    </rPh>
    <phoneticPr fontId="3"/>
  </si>
  <si>
    <t>保険者機能強化推進交付金等の交付見込額</t>
  </si>
  <si>
    <t>2021/03/31</t>
  </si>
  <si>
    <t>珠洲市</t>
  </si>
  <si>
    <t>17205</t>
  </si>
  <si>
    <t>20210312第4回目</t>
  </si>
  <si>
    <t>性別／年齢５歳階級別／要介護度別に推計する　※初期値</t>
  </si>
  <si>
    <t>サービス別／要介護度別に推計する　※初期値</t>
  </si>
  <si>
    <t>令和元年度→令和2年度</t>
  </si>
  <si>
    <t>第１号被保険者数は減少傾向にあるが、後期高齢者数は増加傾向にあるため、要介護１～５の認定者数は増加すると見込まれる。</t>
  </si>
  <si>
    <t>令和2年度</t>
  </si>
  <si>
    <t>認定者数、後期高齢者数の増加に伴い、地域密着型サービスは増加すると見込まれる。</t>
  </si>
  <si>
    <t>認定者数、後期高齢者数の増加に伴い、施設サービスは増加すると見込まれる。</t>
  </si>
  <si>
    <t>後期高齢者の増加による利用者数の増加を見込んでいる。
在宅高齢者の医療ニーズの高まりを考慮し、訪問介護や訪問看護が増加する見込み。</t>
  </si>
  <si>
    <t>後期高齢者の増加による利用回数の増加を見込んでいる。在宅高齢者の医療ニーズの高まりを考慮し、訪問介護や訪問看護が増加する見込み。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</si>
</sst>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_ "/>
    <numFmt numFmtId="177" formatCode="#,##0.0_ "/>
    <numFmt numFmtId="178" formatCode="0.000_);[Red]\(0.000\)"/>
    <numFmt numFmtId="179" formatCode="&quot;¥&quot;#,##0_);[Red]\(&quot;¥&quot;#,##0\)"/>
    <numFmt numFmtId="180" formatCode="0.0%"/>
    <numFmt numFmtId="181" formatCode="#,###&quot;円&quot;"/>
    <numFmt numFmtId="182" formatCode="#,##0_);[Red]\(#,##0\)"/>
    <numFmt numFmtId="183" formatCode="0.0000_);[Red]\(0.0000\)"/>
    <numFmt numFmtId="184" formatCode="#,##0.0000_ "/>
    <numFmt numFmtId="185" formatCode="0.00_ "/>
    <numFmt numFmtId="186" formatCode="0.000_ "/>
    <numFmt numFmtId="187" formatCode="#,##0.000000000_ "/>
    <numFmt numFmtId="188" formatCode="0.0000%"/>
    <numFmt numFmtId="189" formatCode="0.0_ "/>
    <numFmt numFmtId="190" formatCode="&quot;(&quot;#,##0_ &quot;)&quot;"/>
    <numFmt numFmtId="191" formatCode="#,##0.00_ "/>
    <numFmt numFmtId="192" formatCode="#,##0_ ;[Red]\-#,##0\ "/>
  </numFmts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name val="Meiryo UI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9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</fills>
  <borders count="2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hair">
        <color theme="1"/>
      </right>
      <top style="thin">
        <color indexed="64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theme="1"/>
      </bottom>
      <diagonal/>
    </border>
    <border>
      <left style="hair">
        <color theme="1"/>
      </left>
      <right style="thin">
        <color auto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 diagonalUp="1">
      <left style="medium">
        <color theme="1"/>
      </left>
      <right style="hair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thin">
        <color auto="1"/>
      </top>
      <bottom/>
      <diagonal/>
    </border>
    <border>
      <left/>
      <right style="medium">
        <color theme="1"/>
      </right>
      <top style="thin">
        <color theme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 diagonalUp="1"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 style="thin">
        <color indexed="64"/>
      </diagonal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 style="dotted">
        <color indexed="64"/>
      </top>
      <bottom style="thin">
        <color auto="1"/>
      </bottom>
      <diagonal/>
    </border>
    <border diagonalUp="1">
      <left style="thin">
        <color theme="1"/>
      </left>
      <right style="medium">
        <color indexed="64"/>
      </right>
      <top style="thin">
        <color theme="1"/>
      </top>
      <bottom style="thin">
        <color indexed="64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 style="thin">
        <color theme="1"/>
      </diagonal>
    </border>
  </borders>
  <cellStyleXfs count="8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5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23" borderId="57" applyNumberFormat="0" applyFont="0" applyAlignment="0" applyProtection="0">
      <alignment vertical="center"/>
    </xf>
    <xf numFmtId="0" fontId="15" fillId="0" borderId="5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59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8" fillId="0" borderId="60" applyNumberFormat="0" applyFill="0" applyAlignment="0" applyProtection="0">
      <alignment vertical="center"/>
    </xf>
    <xf numFmtId="0" fontId="19" fillId="0" borderId="61" applyNumberFormat="0" applyFill="0" applyAlignment="0" applyProtection="0">
      <alignment vertical="center"/>
    </xf>
    <xf numFmtId="0" fontId="20" fillId="0" borderId="6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3" applyNumberFormat="0" applyFill="0" applyAlignment="0" applyProtection="0">
      <alignment vertical="center"/>
    </xf>
    <xf numFmtId="0" fontId="22" fillId="24" borderId="6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23" fillId="8" borderId="59" applyNumberForma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24" fillId="0" borderId="0">
      <alignment vertical="center"/>
    </xf>
    <xf numFmtId="0" fontId="6" fillId="0" borderId="0"/>
    <xf numFmtId="0" fontId="10" fillId="0" borderId="0">
      <alignment vertical="center"/>
    </xf>
    <xf numFmtId="0" fontId="24" fillId="0" borderId="0">
      <alignment vertical="center"/>
    </xf>
    <xf numFmtId="0" fontId="6" fillId="0" borderId="0"/>
    <xf numFmtId="0" fontId="25" fillId="5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3" fillId="21" borderId="56" applyNumberFormat="0" applyAlignment="0" applyProtection="0">
      <alignment vertical="center"/>
    </xf>
    <xf numFmtId="0" fontId="6" fillId="23" borderId="80" applyNumberFormat="0" applyFont="0" applyAlignment="0" applyProtection="0">
      <alignment vertical="center"/>
    </xf>
    <xf numFmtId="0" fontId="17" fillId="24" borderId="81" applyNumberFormat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2" fillId="24" borderId="83" applyNumberFormat="0" applyAlignment="0" applyProtection="0">
      <alignment vertical="center"/>
    </xf>
    <xf numFmtId="0" fontId="23" fillId="8" borderId="81" applyNumberFormat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2" fillId="24" borderId="83" applyNumberFormat="0" applyAlignment="0" applyProtection="0">
      <alignment vertical="center"/>
    </xf>
    <xf numFmtId="0" fontId="13" fillId="21" borderId="56" applyNumberFormat="0" applyAlignment="0" applyProtection="0">
      <alignment vertical="center"/>
    </xf>
    <xf numFmtId="0" fontId="21" fillId="0" borderId="82" applyNumberFormat="0" applyFill="0" applyAlignment="0" applyProtection="0">
      <alignment vertical="center"/>
    </xf>
    <xf numFmtId="0" fontId="22" fillId="24" borderId="83" applyNumberFormat="0" applyAlignment="0" applyProtection="0">
      <alignment vertical="center"/>
    </xf>
    <xf numFmtId="0" fontId="13" fillId="21" borderId="84" applyNumberFormat="0" applyAlignment="0" applyProtection="0">
      <alignment vertical="center"/>
    </xf>
    <xf numFmtId="0" fontId="13" fillId="21" borderId="84" applyNumberFormat="0" applyAlignment="0" applyProtection="0">
      <alignment vertical="center"/>
    </xf>
    <xf numFmtId="0" fontId="13" fillId="21" borderId="84" applyNumberFormat="0" applyAlignment="0" applyProtection="0">
      <alignment vertical="center"/>
    </xf>
    <xf numFmtId="0" fontId="13" fillId="21" borderId="87" applyNumberFormat="0" applyAlignment="0" applyProtection="0">
      <alignment vertical="center"/>
    </xf>
    <xf numFmtId="0" fontId="26" fillId="0" borderId="0"/>
    <xf numFmtId="0" fontId="13" fillId="21" borderId="86" applyNumberFormat="0" applyAlignment="0" applyProtection="0">
      <alignment vertical="center"/>
    </xf>
    <xf numFmtId="0" fontId="13" fillId="21" borderId="86" applyNumberFormat="0" applyAlignment="0" applyProtection="0">
      <alignment vertical="center"/>
    </xf>
    <xf numFmtId="0" fontId="13" fillId="21" borderId="88" applyNumberFormat="0" applyAlignment="0" applyProtection="0">
      <alignment vertical="center"/>
    </xf>
    <xf numFmtId="0" fontId="13" fillId="21" borderId="88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1">
    <xf numFmtId="0" fontId="0" fillId="0" borderId="0" xfId="0">
      <alignment vertical="center"/>
    </xf>
    <xf numFmtId="0" fontId="6" fillId="2" borderId="0" xfId="2" applyFont="1" applyFill="1" applyAlignment="1" applyProtection="1">
      <alignment vertical="center"/>
    </xf>
    <xf numFmtId="0" fontId="7" fillId="2" borderId="0" xfId="2" applyFont="1" applyFill="1" applyAlignment="1" applyProtection="1">
      <alignment horizontal="right" vertical="center"/>
    </xf>
    <xf numFmtId="0" fontId="6" fillId="2" borderId="6" xfId="2" applyFont="1" applyFill="1" applyBorder="1" applyAlignment="1" applyProtection="1">
      <alignment horizontal="left" vertical="top"/>
    </xf>
    <xf numFmtId="0" fontId="6" fillId="2" borderId="7" xfId="2" applyFont="1" applyFill="1" applyBorder="1" applyAlignment="1" applyProtection="1">
      <alignment vertical="center"/>
    </xf>
    <xf numFmtId="0" fontId="6" fillId="2" borderId="12" xfId="2" applyFont="1" applyFill="1" applyBorder="1" applyAlignment="1" applyProtection="1">
      <alignment vertical="center"/>
    </xf>
    <xf numFmtId="0" fontId="6" fillId="2" borderId="13" xfId="2" applyFont="1" applyFill="1" applyBorder="1" applyAlignment="1" applyProtection="1">
      <alignment horizontal="left" vertical="center"/>
    </xf>
    <xf numFmtId="0" fontId="6" fillId="2" borderId="23" xfId="2" applyFont="1" applyFill="1" applyBorder="1" applyAlignment="1" applyProtection="1">
      <alignment horizontal="left" vertical="top"/>
    </xf>
    <xf numFmtId="0" fontId="6" fillId="2" borderId="24" xfId="2" applyFont="1" applyFill="1" applyBorder="1" applyAlignment="1" applyProtection="1">
      <alignment vertical="center"/>
    </xf>
    <xf numFmtId="0" fontId="6" fillId="2" borderId="13" xfId="2" applyFont="1" applyFill="1" applyBorder="1" applyAlignment="1" applyProtection="1">
      <alignment horizontal="left" vertical="top"/>
    </xf>
    <xf numFmtId="0" fontId="6" fillId="2" borderId="28" xfId="2" applyFont="1" applyFill="1" applyBorder="1" applyAlignment="1" applyProtection="1">
      <alignment vertical="center"/>
    </xf>
    <xf numFmtId="0" fontId="6" fillId="2" borderId="29" xfId="2" applyFont="1" applyFill="1" applyBorder="1" applyAlignment="1" applyProtection="1">
      <alignment horizontal="left" vertical="top"/>
    </xf>
    <xf numFmtId="0" fontId="6" fillId="2" borderId="18" xfId="2" applyFont="1" applyFill="1" applyBorder="1" applyAlignment="1" applyProtection="1">
      <alignment vertical="center"/>
    </xf>
    <xf numFmtId="0" fontId="6" fillId="2" borderId="5" xfId="2" applyFont="1" applyFill="1" applyBorder="1" applyAlignment="1" applyProtection="1">
      <alignment vertical="center"/>
    </xf>
    <xf numFmtId="0" fontId="6" fillId="2" borderId="51" xfId="2" applyFont="1" applyFill="1" applyBorder="1" applyAlignment="1" applyProtection="1">
      <alignment horizontal="left" vertical="top"/>
    </xf>
    <xf numFmtId="0" fontId="6" fillId="2" borderId="0" xfId="3" applyFont="1" applyFill="1" applyBorder="1" applyAlignment="1" applyProtection="1">
      <alignment horizontal="left" vertical="top" wrapText="1"/>
    </xf>
    <xf numFmtId="0" fontId="6" fillId="2" borderId="74" xfId="3" applyFont="1" applyFill="1" applyBorder="1" applyAlignment="1" applyProtection="1">
      <alignment vertical="center"/>
    </xf>
    <xf numFmtId="0" fontId="6" fillId="2" borderId="10" xfId="3" applyFont="1" applyFill="1" applyBorder="1" applyAlignment="1" applyProtection="1">
      <alignment vertical="center"/>
    </xf>
    <xf numFmtId="0" fontId="6" fillId="2" borderId="36" xfId="3" applyFont="1" applyFill="1" applyBorder="1" applyAlignment="1" applyProtection="1">
      <alignment vertical="center"/>
    </xf>
    <xf numFmtId="0" fontId="6" fillId="2" borderId="12" xfId="3" applyFont="1" applyFill="1" applyBorder="1" applyAlignment="1" applyProtection="1">
      <alignment vertical="center"/>
    </xf>
    <xf numFmtId="0" fontId="6" fillId="2" borderId="43" xfId="3" applyFont="1" applyFill="1" applyBorder="1" applyAlignment="1" applyProtection="1">
      <alignment vertical="center"/>
    </xf>
    <xf numFmtId="0" fontId="6" fillId="2" borderId="46" xfId="3" applyFont="1" applyFill="1" applyBorder="1" applyAlignment="1" applyProtection="1">
      <alignment vertical="center"/>
    </xf>
    <xf numFmtId="0" fontId="7" fillId="2" borderId="0" xfId="3" applyFont="1" applyFill="1" applyProtection="1">
      <alignment vertical="center"/>
    </xf>
    <xf numFmtId="178" fontId="7" fillId="2" borderId="0" xfId="4" applyNumberFormat="1" applyFont="1" applyFill="1" applyAlignment="1" applyProtection="1">
      <alignment vertical="center"/>
    </xf>
    <xf numFmtId="0" fontId="6" fillId="2" borderId="5" xfId="3" applyFont="1" applyFill="1" applyBorder="1" applyAlignment="1" applyProtection="1">
      <alignment vertical="center"/>
    </xf>
    <xf numFmtId="0" fontId="6" fillId="2" borderId="17" xfId="3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vertical="center"/>
      <protection locked="0"/>
    </xf>
    <xf numFmtId="0" fontId="6" fillId="2" borderId="10" xfId="3" applyFont="1" applyFill="1" applyBorder="1" applyAlignment="1" applyProtection="1">
      <alignment horizontal="left" vertical="top"/>
    </xf>
    <xf numFmtId="0" fontId="6" fillId="2" borderId="31" xfId="3" applyFont="1" applyFill="1" applyBorder="1" applyAlignment="1" applyProtection="1">
      <alignment vertical="center"/>
    </xf>
    <xf numFmtId="0" fontId="26" fillId="2" borderId="73" xfId="81" applyFont="1" applyFill="1" applyBorder="1" applyAlignment="1" applyProtection="1">
      <alignment vertical="center"/>
    </xf>
    <xf numFmtId="0" fontId="26" fillId="2" borderId="8" xfId="81" applyFont="1" applyFill="1" applyBorder="1" applyAlignment="1" applyProtection="1">
      <alignment vertical="center"/>
    </xf>
    <xf numFmtId="0" fontId="26" fillId="2" borderId="67" xfId="81" applyFont="1" applyFill="1" applyBorder="1" applyAlignment="1" applyProtection="1">
      <alignment vertical="center"/>
    </xf>
    <xf numFmtId="0" fontId="26" fillId="2" borderId="12" xfId="81" applyFont="1" applyFill="1" applyBorder="1" applyAlignment="1" applyProtection="1">
      <alignment vertical="center"/>
    </xf>
    <xf numFmtId="0" fontId="26" fillId="2" borderId="0" xfId="81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horizontal="right" vertical="center"/>
    </xf>
    <xf numFmtId="0" fontId="26" fillId="2" borderId="71" xfId="81" applyFont="1" applyFill="1" applyBorder="1" applyAlignment="1" applyProtection="1">
      <alignment vertical="center"/>
    </xf>
    <xf numFmtId="0" fontId="26" fillId="2" borderId="65" xfId="81" applyFont="1" applyFill="1" applyBorder="1" applyAlignment="1" applyProtection="1">
      <alignment vertical="center"/>
    </xf>
    <xf numFmtId="0" fontId="6" fillId="2" borderId="73" xfId="3" applyFont="1" applyFill="1" applyBorder="1" applyAlignment="1" applyProtection="1">
      <alignment vertical="center"/>
    </xf>
    <xf numFmtId="0" fontId="27" fillId="2" borderId="3" xfId="2" applyFont="1" applyFill="1" applyBorder="1" applyAlignment="1" applyProtection="1">
      <alignment horizontal="center" vertical="center" wrapText="1"/>
    </xf>
    <xf numFmtId="0" fontId="27" fillId="2" borderId="4" xfId="2" applyFont="1" applyFill="1" applyBorder="1" applyAlignment="1" applyProtection="1">
      <alignment horizontal="center" vertical="center" wrapText="1"/>
    </xf>
    <xf numFmtId="176" fontId="6" fillId="27" borderId="25" xfId="2" applyNumberFormat="1" applyFont="1" applyFill="1" applyBorder="1" applyAlignment="1" applyProtection="1">
      <alignment vertical="center"/>
    </xf>
    <xf numFmtId="176" fontId="6" fillId="27" borderId="24" xfId="2" applyNumberFormat="1" applyFont="1" applyFill="1" applyBorder="1" applyAlignment="1" applyProtection="1">
      <alignment vertical="center"/>
      <protection locked="0"/>
    </xf>
    <xf numFmtId="176" fontId="6" fillId="27" borderId="26" xfId="2" applyNumberFormat="1" applyFont="1" applyFill="1" applyBorder="1" applyAlignment="1" applyProtection="1">
      <alignment vertical="center"/>
      <protection locked="0"/>
    </xf>
    <xf numFmtId="176" fontId="6" fillId="27" borderId="20" xfId="2" applyNumberFormat="1" applyFont="1" applyFill="1" applyBorder="1" applyAlignment="1" applyProtection="1">
      <alignment vertical="center"/>
    </xf>
    <xf numFmtId="176" fontId="6" fillId="27" borderId="21" xfId="2" applyNumberFormat="1" applyFont="1" applyFill="1" applyBorder="1" applyAlignment="1" applyProtection="1">
      <alignment vertical="center"/>
      <protection locked="0"/>
    </xf>
    <xf numFmtId="176" fontId="6" fillId="27" borderId="18" xfId="2" applyNumberFormat="1" applyFont="1" applyFill="1" applyBorder="1" applyAlignment="1" applyProtection="1">
      <alignment vertical="center"/>
      <protection locked="0"/>
    </xf>
    <xf numFmtId="176" fontId="6" fillId="27" borderId="73" xfId="2" applyNumberFormat="1" applyFont="1" applyFill="1" applyBorder="1" applyAlignment="1" applyProtection="1">
      <alignment vertical="center"/>
      <protection locked="0"/>
    </xf>
    <xf numFmtId="176" fontId="6" fillId="27" borderId="67" xfId="2" applyNumberFormat="1" applyFont="1" applyFill="1" applyBorder="1" applyAlignment="1" applyProtection="1">
      <alignment vertical="center"/>
      <protection locked="0"/>
    </xf>
    <xf numFmtId="176" fontId="6" fillId="28" borderId="10" xfId="2" applyNumberFormat="1" applyFont="1" applyFill="1" applyBorder="1" applyAlignment="1" applyProtection="1">
      <alignment vertical="center"/>
    </xf>
    <xf numFmtId="176" fontId="6" fillId="28" borderId="24" xfId="2" applyNumberFormat="1" applyFont="1" applyFill="1" applyBorder="1" applyAlignment="1" applyProtection="1">
      <alignment vertical="center"/>
    </xf>
    <xf numFmtId="176" fontId="29" fillId="27" borderId="75" xfId="2" applyNumberFormat="1" applyFont="1" applyFill="1" applyBorder="1" applyAlignment="1" applyProtection="1">
      <alignment vertical="center"/>
      <protection locked="0"/>
    </xf>
    <xf numFmtId="176" fontId="29" fillId="27" borderId="79" xfId="2" applyNumberFormat="1" applyFont="1" applyFill="1" applyBorder="1" applyAlignment="1" applyProtection="1">
      <alignment vertical="center"/>
      <protection locked="0"/>
    </xf>
    <xf numFmtId="176" fontId="29" fillId="27" borderId="15" xfId="2" applyNumberFormat="1" applyFont="1" applyFill="1" applyBorder="1" applyAlignment="1" applyProtection="1">
      <alignment vertical="center"/>
      <protection locked="0"/>
    </xf>
    <xf numFmtId="176" fontId="29" fillId="27" borderId="16" xfId="2" applyNumberFormat="1" applyFont="1" applyFill="1" applyBorder="1" applyAlignment="1" applyProtection="1">
      <alignment vertical="center"/>
      <protection locked="0"/>
    </xf>
    <xf numFmtId="176" fontId="29" fillId="27" borderId="13" xfId="2" applyNumberFormat="1" applyFont="1" applyFill="1" applyBorder="1" applyAlignment="1" applyProtection="1">
      <alignment vertical="center"/>
      <protection locked="0"/>
    </xf>
    <xf numFmtId="176" fontId="28" fillId="27" borderId="85" xfId="0" applyNumberFormat="1" applyFont="1" applyFill="1" applyBorder="1">
      <alignment vertical="center"/>
    </xf>
    <xf numFmtId="176" fontId="6" fillId="28" borderId="52" xfId="2" applyNumberFormat="1" applyFont="1" applyFill="1" applyBorder="1" applyAlignment="1" applyProtection="1">
      <alignment vertical="center"/>
    </xf>
    <xf numFmtId="176" fontId="6" fillId="28" borderId="39" xfId="2" applyNumberFormat="1" applyFont="1" applyFill="1" applyBorder="1" applyAlignment="1" applyProtection="1">
      <alignment vertical="center"/>
    </xf>
    <xf numFmtId="176" fontId="6" fillId="28" borderId="27" xfId="2" applyNumberFormat="1" applyFont="1" applyFill="1" applyBorder="1" applyAlignment="1" applyProtection="1">
      <alignment vertical="center"/>
    </xf>
    <xf numFmtId="176" fontId="6" fillId="28" borderId="8" xfId="2" applyNumberFormat="1" applyFont="1" applyFill="1" applyBorder="1" applyAlignment="1" applyProtection="1">
      <alignment vertical="center"/>
    </xf>
    <xf numFmtId="176" fontId="6" fillId="28" borderId="9" xfId="2" applyNumberFormat="1" applyFont="1" applyFill="1" applyBorder="1" applyAlignment="1" applyProtection="1">
      <alignment vertical="center"/>
    </xf>
    <xf numFmtId="176" fontId="6" fillId="27" borderId="77" xfId="2" applyNumberFormat="1" applyFont="1" applyFill="1" applyBorder="1" applyAlignment="1" applyProtection="1">
      <alignment vertical="center"/>
      <protection locked="0"/>
    </xf>
    <xf numFmtId="0" fontId="6" fillId="2" borderId="74" xfId="2" applyFont="1" applyFill="1" applyBorder="1" applyAlignment="1" applyProtection="1">
      <alignment horizontal="left" vertical="center"/>
    </xf>
    <xf numFmtId="176" fontId="29" fillId="27" borderId="77" xfId="2" applyNumberFormat="1" applyFont="1" applyFill="1" applyBorder="1" applyAlignment="1" applyProtection="1">
      <alignment vertical="center"/>
      <protection locked="0"/>
    </xf>
    <xf numFmtId="176" fontId="29" fillId="27" borderId="74" xfId="2" applyNumberFormat="1" applyFont="1" applyFill="1" applyBorder="1" applyAlignment="1" applyProtection="1">
      <alignment vertical="center"/>
      <protection locked="0"/>
    </xf>
    <xf numFmtId="176" fontId="6" fillId="28" borderId="25" xfId="2" applyNumberFormat="1" applyFont="1" applyFill="1" applyBorder="1" applyAlignment="1" applyProtection="1">
      <alignment vertical="center"/>
    </xf>
    <xf numFmtId="176" fontId="6" fillId="28" borderId="26" xfId="2" applyNumberFormat="1" applyFont="1" applyFill="1" applyBorder="1" applyAlignment="1" applyProtection="1">
      <alignment vertical="center"/>
    </xf>
    <xf numFmtId="176" fontId="6" fillId="28" borderId="73" xfId="2" applyNumberFormat="1" applyFont="1" applyFill="1" applyBorder="1" applyAlignment="1" applyProtection="1">
      <alignment vertical="center"/>
    </xf>
    <xf numFmtId="176" fontId="28" fillId="27" borderId="39" xfId="0" applyNumberFormat="1" applyFont="1" applyFill="1" applyBorder="1">
      <alignment vertical="center"/>
    </xf>
    <xf numFmtId="176" fontId="28" fillId="27" borderId="41" xfId="0" applyNumberFormat="1" applyFont="1" applyFill="1" applyBorder="1">
      <alignment vertical="center"/>
    </xf>
    <xf numFmtId="176" fontId="28" fillId="27" borderId="38" xfId="0" applyNumberFormat="1" applyFont="1" applyFill="1" applyBorder="1">
      <alignment vertical="center"/>
    </xf>
    <xf numFmtId="176" fontId="28" fillId="27" borderId="67" xfId="0" applyNumberFormat="1" applyFont="1" applyFill="1" applyBorder="1">
      <alignment vertical="center"/>
    </xf>
    <xf numFmtId="176" fontId="28" fillId="27" borderId="66" xfId="0" applyNumberFormat="1" applyFont="1" applyFill="1" applyBorder="1">
      <alignment vertical="center"/>
    </xf>
    <xf numFmtId="176" fontId="28" fillId="27" borderId="76" xfId="0" applyNumberFormat="1" applyFont="1" applyFill="1" applyBorder="1">
      <alignment vertical="center"/>
    </xf>
    <xf numFmtId="176" fontId="28" fillId="27" borderId="73" xfId="0" applyNumberFormat="1" applyFont="1" applyFill="1" applyBorder="1" applyAlignment="1">
      <alignment vertical="center" shrinkToFit="1"/>
    </xf>
    <xf numFmtId="176" fontId="28" fillId="27" borderId="72" xfId="0" applyNumberFormat="1" applyFont="1" applyFill="1" applyBorder="1" applyAlignment="1">
      <alignment vertical="center" shrinkToFit="1"/>
    </xf>
    <xf numFmtId="176" fontId="28" fillId="27" borderId="69" xfId="0" applyNumberFormat="1" applyFont="1" applyFill="1" applyBorder="1" applyAlignment="1">
      <alignment vertical="center" shrinkToFit="1"/>
    </xf>
    <xf numFmtId="176" fontId="28" fillId="27" borderId="71" xfId="0" applyNumberFormat="1" applyFont="1" applyFill="1" applyBorder="1" applyAlignment="1">
      <alignment vertical="center" shrinkToFit="1"/>
    </xf>
    <xf numFmtId="176" fontId="28" fillId="28" borderId="1" xfId="0" applyNumberFormat="1" applyFont="1" applyFill="1" applyBorder="1" applyAlignment="1">
      <alignment vertical="center" shrinkToFit="1"/>
    </xf>
    <xf numFmtId="176" fontId="28" fillId="28" borderId="2" xfId="0" applyNumberFormat="1" applyFont="1" applyFill="1" applyBorder="1" applyAlignment="1">
      <alignment vertical="center" shrinkToFit="1"/>
    </xf>
    <xf numFmtId="176" fontId="28" fillId="28" borderId="3" xfId="0" applyNumberFormat="1" applyFont="1" applyFill="1" applyBorder="1" applyAlignment="1">
      <alignment vertical="center" shrinkToFit="1"/>
    </xf>
    <xf numFmtId="176" fontId="28" fillId="28" borderId="34" xfId="0" applyNumberFormat="1" applyFont="1" applyFill="1" applyBorder="1" applyAlignment="1">
      <alignment vertical="center" shrinkToFit="1"/>
    </xf>
    <xf numFmtId="176" fontId="28" fillId="27" borderId="48" xfId="0" applyNumberFormat="1" applyFont="1" applyFill="1" applyBorder="1">
      <alignment vertical="center"/>
    </xf>
    <xf numFmtId="176" fontId="28" fillId="27" borderId="50" xfId="0" applyNumberFormat="1" applyFont="1" applyFill="1" applyBorder="1">
      <alignment vertical="center"/>
    </xf>
    <xf numFmtId="0" fontId="26" fillId="2" borderId="5" xfId="81" applyFont="1" applyFill="1" applyBorder="1" applyAlignment="1" applyProtection="1">
      <alignment vertical="center"/>
    </xf>
    <xf numFmtId="0" fontId="26" fillId="2" borderId="6" xfId="81" applyFont="1" applyFill="1" applyBorder="1" applyAlignment="1" applyProtection="1">
      <alignment vertical="center"/>
    </xf>
    <xf numFmtId="180" fontId="6" fillId="28" borderId="10" xfId="86" applyNumberFormat="1" applyFont="1" applyFill="1" applyBorder="1" applyAlignment="1" applyProtection="1">
      <alignment horizontal="right" vertical="center"/>
    </xf>
    <xf numFmtId="180" fontId="6" fillId="28" borderId="22" xfId="86" applyNumberFormat="1" applyFont="1" applyFill="1" applyBorder="1" applyAlignment="1" applyProtection="1">
      <alignment horizontal="right" vertical="center"/>
    </xf>
    <xf numFmtId="180" fontId="6" fillId="28" borderId="11" xfId="86" applyNumberFormat="1" applyFont="1" applyFill="1" applyBorder="1" applyAlignment="1" applyProtection="1">
      <alignment horizontal="right" vertical="center"/>
    </xf>
    <xf numFmtId="180" fontId="6" fillId="28" borderId="50" xfId="86" applyNumberFormat="1" applyFont="1" applyFill="1" applyBorder="1" applyAlignment="1" applyProtection="1">
      <alignment horizontal="right" vertical="center"/>
    </xf>
    <xf numFmtId="180" fontId="6" fillId="28" borderId="70" xfId="86" applyNumberFormat="1" applyFont="1" applyFill="1" applyBorder="1" applyAlignment="1" applyProtection="1">
      <alignment horizontal="right" vertical="center"/>
      <protection locked="0"/>
    </xf>
    <xf numFmtId="180" fontId="6" fillId="28" borderId="70" xfId="86" applyNumberFormat="1" applyFont="1" applyFill="1" applyBorder="1" applyAlignment="1" applyProtection="1">
      <alignment horizontal="right" vertical="center"/>
    </xf>
    <xf numFmtId="180" fontId="6" fillId="28" borderId="68" xfId="86" applyNumberFormat="1" applyFont="1" applyFill="1" applyBorder="1" applyAlignment="1" applyProtection="1">
      <alignment horizontal="right" vertical="center"/>
      <protection locked="0"/>
    </xf>
    <xf numFmtId="180" fontId="6" fillId="28" borderId="24" xfId="86" applyNumberFormat="1" applyFont="1" applyFill="1" applyBorder="1" applyAlignment="1" applyProtection="1">
      <alignment horizontal="right" vertical="center"/>
      <protection locked="0"/>
    </xf>
    <xf numFmtId="180" fontId="6" fillId="28" borderId="24" xfId="86" applyNumberFormat="1" applyFont="1" applyFill="1" applyBorder="1" applyAlignment="1" applyProtection="1">
      <alignment horizontal="right" vertical="center"/>
    </xf>
    <xf numFmtId="180" fontId="6" fillId="28" borderId="18" xfId="86" applyNumberFormat="1" applyFont="1" applyFill="1" applyBorder="1" applyAlignment="1" applyProtection="1">
      <alignment horizontal="right" vertical="center"/>
      <protection locked="0"/>
    </xf>
    <xf numFmtId="180" fontId="28" fillId="28" borderId="42" xfId="86" applyNumberFormat="1" applyFont="1" applyFill="1" applyBorder="1" applyAlignment="1">
      <alignment horizontal="right" vertical="center"/>
    </xf>
    <xf numFmtId="180" fontId="28" fillId="28" borderId="68" xfId="86" applyNumberFormat="1" applyFont="1" applyFill="1" applyBorder="1" applyAlignment="1">
      <alignment horizontal="right" vertical="center"/>
    </xf>
    <xf numFmtId="180" fontId="28" fillId="28" borderId="4" xfId="86" applyNumberFormat="1" applyFont="1" applyFill="1" applyBorder="1" applyAlignment="1">
      <alignment horizontal="right" vertical="center" shrinkToFit="1"/>
    </xf>
    <xf numFmtId="180" fontId="28" fillId="28" borderId="11" xfId="86" applyNumberFormat="1" applyFont="1" applyFill="1" applyBorder="1" applyAlignment="1">
      <alignment horizontal="right" vertical="center"/>
    </xf>
    <xf numFmtId="180" fontId="28" fillId="28" borderId="70" xfId="86" applyNumberFormat="1" applyFont="1" applyFill="1" applyBorder="1" applyAlignment="1">
      <alignment horizontal="right" vertical="center" shrinkToFit="1"/>
    </xf>
    <xf numFmtId="180" fontId="28" fillId="28" borderId="78" xfId="86" applyNumberFormat="1" applyFont="1" applyFill="1" applyBorder="1" applyAlignment="1">
      <alignment horizontal="right" vertical="center"/>
    </xf>
    <xf numFmtId="180" fontId="28" fillId="28" borderId="78" xfId="86" applyNumberFormat="1" applyFont="1" applyFill="1" applyBorder="1" applyAlignment="1">
      <alignment horizontal="right" vertical="center" shrinkToFit="1"/>
    </xf>
    <xf numFmtId="176" fontId="28" fillId="28" borderId="41" xfId="0" applyNumberFormat="1" applyFont="1" applyFill="1" applyBorder="1" applyAlignment="1">
      <alignment horizontal="right" vertical="center"/>
    </xf>
    <xf numFmtId="176" fontId="28" fillId="28" borderId="39" xfId="0" applyNumberFormat="1" applyFont="1" applyFill="1" applyBorder="1" applyAlignment="1">
      <alignment horizontal="right" vertical="center"/>
    </xf>
    <xf numFmtId="176" fontId="28" fillId="28" borderId="42" xfId="0" applyNumberFormat="1" applyFont="1" applyFill="1" applyBorder="1" applyAlignment="1">
      <alignment horizontal="right" vertical="center"/>
    </xf>
    <xf numFmtId="176" fontId="28" fillId="28" borderId="67" xfId="0" applyNumberFormat="1" applyFont="1" applyFill="1" applyBorder="1" applyAlignment="1">
      <alignment horizontal="right" vertical="center"/>
    </xf>
    <xf numFmtId="176" fontId="28" fillId="28" borderId="66" xfId="0" applyNumberFormat="1" applyFont="1" applyFill="1" applyBorder="1" applyAlignment="1">
      <alignment horizontal="right" vertical="center"/>
    </xf>
    <xf numFmtId="176" fontId="28" fillId="28" borderId="68" xfId="0" applyNumberFormat="1" applyFont="1" applyFill="1" applyBorder="1" applyAlignment="1">
      <alignment horizontal="right" vertical="center"/>
    </xf>
    <xf numFmtId="180" fontId="28" fillId="28" borderId="33" xfId="0" applyNumberFormat="1" applyFont="1" applyFill="1" applyBorder="1" applyAlignment="1">
      <alignment horizontal="right" vertical="center"/>
    </xf>
    <xf numFmtId="180" fontId="28" fillId="28" borderId="4" xfId="0" applyNumberFormat="1" applyFont="1" applyFill="1" applyBorder="1" applyAlignment="1">
      <alignment horizontal="right" vertical="center"/>
    </xf>
    <xf numFmtId="0" fontId="31" fillId="2" borderId="33" xfId="2" applyFont="1" applyFill="1" applyBorder="1" applyAlignment="1">
      <alignment horizontal="left" vertical="center"/>
    </xf>
    <xf numFmtId="10" fontId="31" fillId="28" borderId="17" xfId="2" applyNumberFormat="1" applyFont="1" applyFill="1" applyBorder="1" applyAlignment="1" applyProtection="1">
      <alignment vertical="center"/>
    </xf>
    <xf numFmtId="10" fontId="31" fillId="28" borderId="50" xfId="2" applyNumberFormat="1" applyFont="1" applyFill="1" applyBorder="1" applyAlignment="1" applyProtection="1">
      <alignment vertical="center"/>
    </xf>
    <xf numFmtId="176" fontId="31" fillId="2" borderId="0" xfId="2" applyNumberFormat="1" applyFont="1" applyFill="1" applyBorder="1" applyAlignment="1" applyProtection="1">
      <alignment vertical="center"/>
    </xf>
    <xf numFmtId="0" fontId="31" fillId="2" borderId="108" xfId="2" applyFont="1" applyFill="1" applyBorder="1" applyAlignment="1">
      <alignment horizontal="left" vertical="center"/>
    </xf>
    <xf numFmtId="183" fontId="31" fillId="28" borderId="109" xfId="2" applyNumberFormat="1" applyFont="1" applyFill="1" applyBorder="1" applyAlignment="1" applyProtection="1">
      <alignment vertical="center"/>
    </xf>
    <xf numFmtId="0" fontId="31" fillId="2" borderId="110" xfId="2" applyFont="1" applyFill="1" applyBorder="1" applyAlignment="1">
      <alignment horizontal="left" vertical="center"/>
    </xf>
    <xf numFmtId="0" fontId="31" fillId="2" borderId="111" xfId="2" applyFont="1" applyFill="1" applyBorder="1" applyAlignment="1">
      <alignment horizontal="left" vertical="center"/>
    </xf>
    <xf numFmtId="0" fontId="31" fillId="2" borderId="43" xfId="2" applyFont="1" applyFill="1" applyBorder="1" applyAlignment="1">
      <alignment horizontal="left" vertical="center" wrapText="1"/>
    </xf>
    <xf numFmtId="184" fontId="31" fillId="28" borderId="104" xfId="2" applyNumberFormat="1" applyFont="1" applyFill="1" applyBorder="1" applyAlignment="1" applyProtection="1">
      <alignment vertical="center"/>
    </xf>
    <xf numFmtId="0" fontId="31" fillId="2" borderId="96" xfId="2" applyFont="1" applyFill="1" applyBorder="1" applyAlignment="1">
      <alignment horizontal="left" vertical="center"/>
    </xf>
    <xf numFmtId="184" fontId="31" fillId="28" borderId="107" xfId="2" applyNumberFormat="1" applyFont="1" applyFill="1" applyBorder="1" applyAlignment="1" applyProtection="1">
      <alignment vertical="center"/>
    </xf>
    <xf numFmtId="0" fontId="31" fillId="2" borderId="33" xfId="2" applyFont="1" applyFill="1" applyBorder="1" applyAlignment="1">
      <alignment horizontal="left" vertical="center" wrapText="1"/>
    </xf>
    <xf numFmtId="176" fontId="31" fillId="28" borderId="33" xfId="2" applyNumberFormat="1" applyFont="1" applyFill="1" applyBorder="1" applyAlignment="1" applyProtection="1">
      <alignment vertical="center"/>
    </xf>
    <xf numFmtId="0" fontId="6" fillId="2" borderId="43" xfId="87" applyNumberFormat="1" applyFont="1" applyFill="1" applyBorder="1" applyAlignment="1" applyProtection="1">
      <alignment vertical="center"/>
    </xf>
    <xf numFmtId="0" fontId="6" fillId="2" borderId="119" xfId="81" applyNumberFormat="1" applyFont="1" applyFill="1" applyBorder="1" applyAlignment="1" applyProtection="1">
      <alignment horizontal="center" vertical="center"/>
    </xf>
    <xf numFmtId="0" fontId="26" fillId="2" borderId="5" xfId="81" applyNumberFormat="1" applyFont="1" applyFill="1" applyBorder="1" applyAlignment="1" applyProtection="1">
      <alignment vertical="center"/>
    </xf>
    <xf numFmtId="0" fontId="26" fillId="2" borderId="0" xfId="81" applyNumberFormat="1" applyFont="1" applyFill="1" applyBorder="1" applyAlignment="1" applyProtection="1">
      <alignment vertical="center"/>
    </xf>
    <xf numFmtId="0" fontId="26" fillId="2" borderId="85" xfId="81" applyNumberFormat="1" applyFont="1" applyFill="1" applyBorder="1" applyAlignment="1" applyProtection="1">
      <alignment vertical="center"/>
    </xf>
    <xf numFmtId="0" fontId="26" fillId="2" borderId="71" xfId="81" applyNumberFormat="1" applyFont="1" applyFill="1" applyBorder="1" applyAlignment="1" applyProtection="1">
      <alignment vertical="center"/>
    </xf>
    <xf numFmtId="0" fontId="26" fillId="2" borderId="98" xfId="81" applyNumberFormat="1" applyFont="1" applyFill="1" applyBorder="1" applyAlignment="1" applyProtection="1">
      <alignment vertical="center"/>
    </xf>
    <xf numFmtId="0" fontId="26" fillId="2" borderId="95" xfId="81" applyNumberFormat="1" applyFont="1" applyFill="1" applyBorder="1" applyAlignment="1" applyProtection="1">
      <alignment vertical="center"/>
    </xf>
    <xf numFmtId="0" fontId="26" fillId="2" borderId="96" xfId="81" applyNumberFormat="1" applyFont="1" applyFill="1" applyBorder="1" applyAlignment="1" applyProtection="1">
      <alignment vertical="center"/>
    </xf>
    <xf numFmtId="0" fontId="26" fillId="2" borderId="94" xfId="81" applyNumberFormat="1" applyFont="1" applyFill="1" applyBorder="1" applyAlignment="1" applyProtection="1">
      <alignment vertical="center"/>
    </xf>
    <xf numFmtId="0" fontId="26" fillId="2" borderId="37" xfId="81" applyNumberFormat="1" applyFont="1" applyFill="1" applyBorder="1" applyAlignment="1" applyProtection="1">
      <alignment vertical="center"/>
    </xf>
    <xf numFmtId="0" fontId="26" fillId="2" borderId="6" xfId="81" applyNumberFormat="1" applyFont="1" applyFill="1" applyBorder="1" applyAlignment="1" applyProtection="1">
      <alignment vertical="center"/>
    </xf>
    <xf numFmtId="0" fontId="26" fillId="2" borderId="22" xfId="81" applyNumberFormat="1" applyFont="1" applyFill="1" applyBorder="1" applyAlignment="1" applyProtection="1">
      <alignment vertical="center"/>
    </xf>
    <xf numFmtId="0" fontId="26" fillId="2" borderId="10" xfId="81" applyNumberFormat="1" applyFont="1" applyFill="1" applyBorder="1" applyAlignment="1" applyProtection="1">
      <alignment vertical="center"/>
    </xf>
    <xf numFmtId="0" fontId="26" fillId="27" borderId="71" xfId="81" applyNumberFormat="1" applyFont="1" applyFill="1" applyBorder="1" applyAlignment="1" applyProtection="1">
      <alignment vertical="center"/>
    </xf>
    <xf numFmtId="0" fontId="26" fillId="27" borderId="98" xfId="81" applyNumberFormat="1" applyFont="1" applyFill="1" applyBorder="1" applyAlignment="1" applyProtection="1">
      <alignment vertical="center"/>
    </xf>
    <xf numFmtId="0" fontId="32" fillId="2" borderId="8" xfId="87" applyNumberFormat="1" applyFont="1" applyFill="1" applyBorder="1" applyAlignment="1" applyProtection="1">
      <alignment vertical="center"/>
    </xf>
    <xf numFmtId="0" fontId="32" fillId="2" borderId="10" xfId="87" applyNumberFormat="1" applyFont="1" applyFill="1" applyBorder="1" applyAlignment="1" applyProtection="1">
      <alignment vertical="center"/>
    </xf>
    <xf numFmtId="0" fontId="26" fillId="2" borderId="28" xfId="81" applyNumberFormat="1" applyFont="1" applyFill="1" applyBorder="1" applyAlignment="1" applyProtection="1">
      <alignment vertical="center"/>
    </xf>
    <xf numFmtId="0" fontId="26" fillId="2" borderId="75" xfId="81" applyNumberFormat="1" applyFont="1" applyFill="1" applyBorder="1" applyAlignment="1" applyProtection="1">
      <alignment vertical="center"/>
    </xf>
    <xf numFmtId="0" fontId="26" fillId="27" borderId="28" xfId="81" applyNumberFormat="1" applyFont="1" applyFill="1" applyBorder="1" applyAlignment="1" applyProtection="1">
      <alignment vertical="center"/>
    </xf>
    <xf numFmtId="0" fontId="26" fillId="27" borderId="85" xfId="81" applyNumberFormat="1" applyFont="1" applyFill="1" applyBorder="1" applyAlignment="1" applyProtection="1">
      <alignment vertical="center"/>
    </xf>
    <xf numFmtId="0" fontId="26" fillId="27" borderId="14" xfId="81" applyNumberFormat="1" applyFont="1" applyFill="1" applyBorder="1" applyAlignment="1" applyProtection="1">
      <alignment vertical="center"/>
    </xf>
    <xf numFmtId="0" fontId="6" fillId="2" borderId="125" xfId="2" applyFont="1" applyFill="1" applyBorder="1" applyAlignment="1" applyProtection="1">
      <alignment vertical="center"/>
    </xf>
    <xf numFmtId="176" fontId="6" fillId="2" borderId="8" xfId="2" applyNumberFormat="1" applyFont="1" applyFill="1" applyBorder="1" applyAlignment="1" applyProtection="1">
      <alignment vertical="center"/>
    </xf>
    <xf numFmtId="176" fontId="6" fillId="2" borderId="9" xfId="2" applyNumberFormat="1" applyFont="1" applyFill="1" applyBorder="1" applyAlignment="1" applyProtection="1">
      <alignment vertical="center"/>
    </xf>
    <xf numFmtId="176" fontId="6" fillId="2" borderId="10" xfId="2" applyNumberFormat="1" applyFont="1" applyFill="1" applyBorder="1" applyAlignment="1" applyProtection="1">
      <alignment vertical="center"/>
    </xf>
    <xf numFmtId="0" fontId="6" fillId="2" borderId="71" xfId="2" applyFont="1" applyFill="1" applyBorder="1" applyAlignment="1" applyProtection="1">
      <alignment vertical="center"/>
    </xf>
    <xf numFmtId="176" fontId="6" fillId="27" borderId="69" xfId="2" applyNumberFormat="1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</xf>
    <xf numFmtId="0" fontId="6" fillId="2" borderId="65" xfId="2" applyFont="1" applyFill="1" applyBorder="1" applyAlignment="1" applyProtection="1">
      <alignment vertical="center"/>
    </xf>
    <xf numFmtId="176" fontId="6" fillId="2" borderId="154" xfId="2" applyNumberFormat="1" applyFont="1" applyFill="1" applyBorder="1" applyAlignment="1" applyProtection="1">
      <alignment vertical="center"/>
    </xf>
    <xf numFmtId="176" fontId="6" fillId="27" borderId="106" xfId="2" applyNumberFormat="1" applyFont="1" applyFill="1" applyBorder="1" applyAlignment="1" applyProtection="1">
      <alignment vertical="center"/>
      <protection locked="0"/>
    </xf>
    <xf numFmtId="183" fontId="31" fillId="28" borderId="157" xfId="2" applyNumberFormat="1" applyFont="1" applyFill="1" applyBorder="1" applyAlignment="1" applyProtection="1">
      <alignment horizontal="right" vertical="center"/>
    </xf>
    <xf numFmtId="176" fontId="6" fillId="29" borderId="35" xfId="81" applyNumberFormat="1" applyFont="1" applyFill="1" applyBorder="1" applyAlignment="1" applyProtection="1">
      <alignment vertical="center" shrinkToFit="1"/>
    </xf>
    <xf numFmtId="176" fontId="6" fillId="29" borderId="95" xfId="81" applyNumberFormat="1" applyFont="1" applyFill="1" applyBorder="1" applyAlignment="1" applyProtection="1">
      <alignment vertical="center" shrinkToFit="1"/>
    </xf>
    <xf numFmtId="176" fontId="6" fillId="29" borderId="132" xfId="81" applyNumberFormat="1" applyFont="1" applyFill="1" applyBorder="1" applyAlignment="1" applyProtection="1">
      <alignment vertical="center" shrinkToFit="1"/>
    </xf>
    <xf numFmtId="0" fontId="26" fillId="27" borderId="166" xfId="81" applyNumberFormat="1" applyFont="1" applyFill="1" applyBorder="1" applyAlignment="1" applyProtection="1">
      <alignment vertical="center"/>
    </xf>
    <xf numFmtId="0" fontId="26" fillId="27" borderId="29" xfId="81" applyNumberFormat="1" applyFont="1" applyFill="1" applyBorder="1" applyAlignment="1" applyProtection="1">
      <alignment vertical="center"/>
    </xf>
    <xf numFmtId="0" fontId="26" fillId="27" borderId="9" xfId="81" applyNumberFormat="1" applyFont="1" applyFill="1" applyBorder="1" applyAlignment="1" applyProtection="1">
      <alignment vertical="center"/>
    </xf>
    <xf numFmtId="176" fontId="6" fillId="28" borderId="170" xfId="81" applyNumberFormat="1" applyFont="1" applyFill="1" applyBorder="1" applyAlignment="1" applyProtection="1">
      <alignment vertical="center" shrinkToFit="1"/>
    </xf>
    <xf numFmtId="176" fontId="6" fillId="28" borderId="174" xfId="0" applyNumberFormat="1" applyFont="1" applyFill="1" applyBorder="1">
      <alignment vertical="center"/>
    </xf>
    <xf numFmtId="176" fontId="6" fillId="28" borderId="176" xfId="0" applyNumberFormat="1" applyFont="1" applyFill="1" applyBorder="1" applyAlignment="1">
      <alignment vertical="center" shrinkToFit="1"/>
    </xf>
    <xf numFmtId="184" fontId="6" fillId="28" borderId="174" xfId="0" applyNumberFormat="1" applyFont="1" applyFill="1" applyBorder="1" applyAlignment="1">
      <alignment vertical="center" shrinkToFit="1"/>
    </xf>
    <xf numFmtId="184" fontId="6" fillId="28" borderId="175" xfId="0" applyNumberFormat="1" applyFont="1" applyFill="1" applyBorder="1" applyAlignment="1">
      <alignment vertical="center" shrinkToFit="1"/>
    </xf>
    <xf numFmtId="176" fontId="6" fillId="28" borderId="173" xfId="0" applyNumberFormat="1" applyFont="1" applyFill="1" applyBorder="1" applyAlignment="1">
      <alignment vertical="center" shrinkToFit="1"/>
    </xf>
    <xf numFmtId="0" fontId="6" fillId="2" borderId="181" xfId="0" applyNumberFormat="1" applyFont="1" applyFill="1" applyBorder="1">
      <alignment vertical="center"/>
    </xf>
    <xf numFmtId="0" fontId="6" fillId="2" borderId="164" xfId="0" applyNumberFormat="1" applyFont="1" applyFill="1" applyBorder="1">
      <alignment vertical="center"/>
    </xf>
    <xf numFmtId="0" fontId="6" fillId="2" borderId="159" xfId="0" applyNumberFormat="1" applyFont="1" applyFill="1" applyBorder="1">
      <alignment vertical="center"/>
    </xf>
    <xf numFmtId="0" fontId="6" fillId="2" borderId="166" xfId="0" applyNumberFormat="1" applyFont="1" applyFill="1" applyBorder="1">
      <alignment vertical="center"/>
    </xf>
    <xf numFmtId="0" fontId="6" fillId="2" borderId="160" xfId="0" applyNumberFormat="1" applyFont="1" applyFill="1" applyBorder="1">
      <alignment vertical="center"/>
    </xf>
    <xf numFmtId="0" fontId="6" fillId="2" borderId="178" xfId="0" applyNumberFormat="1" applyFont="1" applyFill="1" applyBorder="1">
      <alignment vertical="center"/>
    </xf>
    <xf numFmtId="0" fontId="6" fillId="2" borderId="180" xfId="0" applyNumberFormat="1" applyFont="1" applyFill="1" applyBorder="1">
      <alignment vertical="center"/>
    </xf>
    <xf numFmtId="0" fontId="6" fillId="2" borderId="179" xfId="0" applyNumberFormat="1" applyFont="1" applyFill="1" applyBorder="1">
      <alignment vertical="center"/>
    </xf>
    <xf numFmtId="0" fontId="6" fillId="2" borderId="183" xfId="0" applyNumberFormat="1" applyFont="1" applyFill="1" applyBorder="1">
      <alignment vertical="center"/>
    </xf>
    <xf numFmtId="0" fontId="6" fillId="2" borderId="186" xfId="0" applyNumberFormat="1" applyFont="1" applyFill="1" applyBorder="1">
      <alignment vertical="center"/>
    </xf>
    <xf numFmtId="10" fontId="6" fillId="28" borderId="174" xfId="0" applyNumberFormat="1" applyFont="1" applyFill="1" applyBorder="1" applyAlignment="1">
      <alignment vertical="center" shrinkToFit="1"/>
    </xf>
    <xf numFmtId="10" fontId="6" fillId="28" borderId="175" xfId="0" applyNumberFormat="1" applyFont="1" applyFill="1" applyBorder="1" applyAlignment="1">
      <alignment vertical="center" shrinkToFit="1"/>
    </xf>
    <xf numFmtId="176" fontId="6" fillId="29" borderId="158" xfId="81" applyNumberFormat="1" applyFont="1" applyFill="1" applyBorder="1" applyAlignment="1" applyProtection="1">
      <alignment vertical="center" shrinkToFit="1"/>
    </xf>
    <xf numFmtId="187" fontId="6" fillId="27" borderId="174" xfId="0" applyNumberFormat="1" applyFont="1" applyFill="1" applyBorder="1">
      <alignment vertical="center"/>
    </xf>
    <xf numFmtId="187" fontId="6" fillId="27" borderId="174" xfId="0" applyNumberFormat="1" applyFont="1" applyFill="1" applyBorder="1" applyAlignment="1">
      <alignment vertical="center" shrinkToFit="1"/>
    </xf>
    <xf numFmtId="187" fontId="6" fillId="27" borderId="175" xfId="0" applyNumberFormat="1" applyFont="1" applyFill="1" applyBorder="1" applyAlignment="1">
      <alignment vertical="center" shrinkToFit="1"/>
    </xf>
    <xf numFmtId="176" fontId="6" fillId="27" borderId="174" xfId="0" applyNumberFormat="1" applyFont="1" applyFill="1" applyBorder="1">
      <alignment vertical="center"/>
    </xf>
    <xf numFmtId="176" fontId="6" fillId="27" borderId="174" xfId="0" applyNumberFormat="1" applyFont="1" applyFill="1" applyBorder="1" applyAlignment="1">
      <alignment vertical="center" shrinkToFit="1"/>
    </xf>
    <xf numFmtId="176" fontId="6" fillId="27" borderId="175" xfId="0" applyNumberFormat="1" applyFont="1" applyFill="1" applyBorder="1" applyAlignment="1">
      <alignment vertical="center" shrinkToFit="1"/>
    </xf>
    <xf numFmtId="176" fontId="6" fillId="27" borderId="164" xfId="2" applyNumberFormat="1" applyFont="1" applyFill="1" applyBorder="1" applyAlignment="1" applyProtection="1">
      <alignment vertical="center"/>
      <protection locked="0"/>
    </xf>
    <xf numFmtId="176" fontId="28" fillId="27" borderId="42" xfId="0" applyNumberFormat="1" applyFont="1" applyFill="1" applyBorder="1">
      <alignment vertical="center"/>
    </xf>
    <xf numFmtId="176" fontId="28" fillId="27" borderId="68" xfId="0" applyNumberFormat="1" applyFont="1" applyFill="1" applyBorder="1">
      <alignment vertical="center"/>
    </xf>
    <xf numFmtId="176" fontId="28" fillId="28" borderId="4" xfId="0" applyNumberFormat="1" applyFont="1" applyFill="1" applyBorder="1" applyAlignment="1">
      <alignment vertical="center" shrinkToFit="1"/>
    </xf>
    <xf numFmtId="176" fontId="28" fillId="27" borderId="8" xfId="0" applyNumberFormat="1" applyFont="1" applyFill="1" applyBorder="1" applyAlignment="1">
      <alignment vertical="center" shrinkToFit="1"/>
    </xf>
    <xf numFmtId="176" fontId="28" fillId="27" borderId="9" xfId="0" applyNumberFormat="1" applyFont="1" applyFill="1" applyBorder="1" applyAlignment="1">
      <alignment vertical="center" shrinkToFit="1"/>
    </xf>
    <xf numFmtId="176" fontId="28" fillId="27" borderId="10" xfId="0" applyNumberFormat="1" applyFont="1" applyFill="1" applyBorder="1" applyAlignment="1">
      <alignment vertical="center" shrinkToFit="1"/>
    </xf>
    <xf numFmtId="176" fontId="28" fillId="27" borderId="27" xfId="0" applyNumberFormat="1" applyFont="1" applyFill="1" applyBorder="1" applyAlignment="1">
      <alignment vertical="center" shrinkToFit="1"/>
    </xf>
    <xf numFmtId="176" fontId="28" fillId="27" borderId="77" xfId="0" applyNumberFormat="1" applyFont="1" applyFill="1" applyBorder="1" applyAlignment="1">
      <alignment vertical="center" shrinkToFit="1"/>
    </xf>
    <xf numFmtId="176" fontId="28" fillId="27" borderId="75" xfId="0" applyNumberFormat="1" applyFont="1" applyFill="1" applyBorder="1" applyAlignment="1">
      <alignment vertical="center" shrinkToFit="1"/>
    </xf>
    <xf numFmtId="176" fontId="28" fillId="27" borderId="74" xfId="0" applyNumberFormat="1" applyFont="1" applyFill="1" applyBorder="1" applyAlignment="1">
      <alignment vertical="center" shrinkToFit="1"/>
    </xf>
    <xf numFmtId="176" fontId="28" fillId="27" borderId="79" xfId="0" applyNumberFormat="1" applyFont="1" applyFill="1" applyBorder="1" applyAlignment="1">
      <alignment vertical="center" shrinkToFit="1"/>
    </xf>
    <xf numFmtId="0" fontId="6" fillId="2" borderId="0" xfId="3" applyNumberFormat="1" applyFont="1" applyFill="1" applyBorder="1" applyAlignment="1" applyProtection="1">
      <alignment horizontal="left" vertical="top"/>
    </xf>
    <xf numFmtId="0" fontId="28" fillId="2" borderId="0" xfId="0" applyNumberFormat="1" applyFont="1" applyFill="1">
      <alignment vertical="center"/>
    </xf>
    <xf numFmtId="0" fontId="34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8" fillId="2" borderId="0" xfId="0" applyFont="1" applyFill="1" applyAlignment="1">
      <alignment horizontal="right" vertical="center"/>
    </xf>
    <xf numFmtId="0" fontId="28" fillId="2" borderId="0" xfId="0" applyNumberFormat="1" applyFont="1" applyFill="1" applyAlignment="1">
      <alignment horizontal="left" vertical="top"/>
    </xf>
    <xf numFmtId="0" fontId="28" fillId="2" borderId="104" xfId="0" applyNumberFormat="1" applyFont="1" applyFill="1" applyBorder="1">
      <alignment vertical="center"/>
    </xf>
    <xf numFmtId="49" fontId="28" fillId="2" borderId="104" xfId="0" applyNumberFormat="1" applyFont="1" applyFill="1" applyBorder="1">
      <alignment vertical="center"/>
    </xf>
    <xf numFmtId="0" fontId="28" fillId="2" borderId="46" xfId="0" applyNumberFormat="1" applyFont="1" applyFill="1" applyBorder="1" applyAlignment="1">
      <alignment horizontal="center" vertical="center"/>
    </xf>
    <xf numFmtId="49" fontId="28" fillId="2" borderId="33" xfId="0" applyNumberFormat="1" applyFont="1" applyFill="1" applyBorder="1" applyAlignment="1">
      <alignment vertical="center" shrinkToFit="1"/>
    </xf>
    <xf numFmtId="0" fontId="28" fillId="2" borderId="0" xfId="0" applyNumberFormat="1" applyFont="1" applyFill="1" applyBorder="1">
      <alignment vertical="center"/>
    </xf>
    <xf numFmtId="0" fontId="33" fillId="2" borderId="0" xfId="0" applyNumberFormat="1" applyFont="1" applyFill="1" applyAlignment="1">
      <alignment vertical="top"/>
    </xf>
    <xf numFmtId="0" fontId="28" fillId="27" borderId="31" xfId="0" applyNumberFormat="1" applyFont="1" applyFill="1" applyBorder="1">
      <alignment vertical="center"/>
    </xf>
    <xf numFmtId="0" fontId="28" fillId="27" borderId="32" xfId="0" applyNumberFormat="1" applyFont="1" applyFill="1" applyBorder="1">
      <alignment vertical="center"/>
    </xf>
    <xf numFmtId="0" fontId="28" fillId="2" borderId="0" xfId="0" applyNumberFormat="1" applyFont="1" applyFill="1" applyBorder="1" applyAlignment="1">
      <alignment horizontal="right" vertical="center"/>
    </xf>
    <xf numFmtId="0" fontId="28" fillId="2" borderId="0" xfId="0" applyNumberFormat="1" applyFont="1" applyFill="1" applyAlignment="1">
      <alignment vertical="top"/>
    </xf>
    <xf numFmtId="0" fontId="28" fillId="2" borderId="31" xfId="0" applyNumberFormat="1" applyFont="1" applyFill="1" applyBorder="1">
      <alignment vertical="center"/>
    </xf>
    <xf numFmtId="0" fontId="28" fillId="2" borderId="32" xfId="0" applyNumberFormat="1" applyFont="1" applyFill="1" applyBorder="1">
      <alignment vertical="center"/>
    </xf>
    <xf numFmtId="0" fontId="28" fillId="2" borderId="4" xfId="0" applyNumberFormat="1" applyFont="1" applyFill="1" applyBorder="1" applyAlignment="1">
      <alignment horizontal="center" vertical="center"/>
    </xf>
    <xf numFmtId="0" fontId="28" fillId="2" borderId="95" xfId="0" applyNumberFormat="1" applyFont="1" applyFill="1" applyBorder="1">
      <alignment vertical="center"/>
    </xf>
    <xf numFmtId="0" fontId="28" fillId="2" borderId="98" xfId="0" applyNumberFormat="1" applyFont="1" applyFill="1" applyBorder="1">
      <alignment vertical="center"/>
    </xf>
    <xf numFmtId="0" fontId="28" fillId="2" borderId="93" xfId="0" applyNumberFormat="1" applyFont="1" applyFill="1" applyBorder="1">
      <alignment vertical="center"/>
    </xf>
    <xf numFmtId="0" fontId="28" fillId="2" borderId="12" xfId="0" applyNumberFormat="1" applyFont="1" applyFill="1" applyBorder="1">
      <alignment vertical="center"/>
    </xf>
    <xf numFmtId="0" fontId="28" fillId="27" borderId="98" xfId="0" applyNumberFormat="1" applyFont="1" applyFill="1" applyBorder="1">
      <alignment vertical="center"/>
    </xf>
    <xf numFmtId="0" fontId="28" fillId="2" borderId="8" xfId="0" applyNumberFormat="1" applyFont="1" applyFill="1" applyBorder="1">
      <alignment vertical="center"/>
    </xf>
    <xf numFmtId="0" fontId="28" fillId="2" borderId="35" xfId="0" applyNumberFormat="1" applyFont="1" applyFill="1" applyBorder="1">
      <alignment vertical="center"/>
    </xf>
    <xf numFmtId="0" fontId="28" fillId="27" borderId="71" xfId="0" applyNumberFormat="1" applyFont="1" applyFill="1" applyBorder="1">
      <alignment vertical="center"/>
    </xf>
    <xf numFmtId="0" fontId="28" fillId="2" borderId="96" xfId="0" applyNumberFormat="1" applyFont="1" applyFill="1" applyBorder="1">
      <alignment vertical="center"/>
    </xf>
    <xf numFmtId="0" fontId="28" fillId="2" borderId="94" xfId="0" applyNumberFormat="1" applyFont="1" applyFill="1" applyBorder="1">
      <alignment vertical="center"/>
    </xf>
    <xf numFmtId="176" fontId="28" fillId="2" borderId="0" xfId="0" applyNumberFormat="1" applyFont="1" applyFill="1">
      <alignment vertical="center"/>
    </xf>
    <xf numFmtId="0" fontId="28" fillId="2" borderId="71" xfId="0" applyNumberFormat="1" applyFont="1" applyFill="1" applyBorder="1">
      <alignment vertical="center"/>
    </xf>
    <xf numFmtId="0" fontId="26" fillId="2" borderId="51" xfId="81" applyNumberFormat="1" applyFont="1" applyFill="1" applyBorder="1" applyAlignment="1" applyProtection="1">
      <alignment vertical="center"/>
    </xf>
    <xf numFmtId="0" fontId="28" fillId="2" borderId="51" xfId="0" applyNumberFormat="1" applyFont="1" applyFill="1" applyBorder="1" applyAlignment="1">
      <alignment vertical="top"/>
    </xf>
    <xf numFmtId="0" fontId="35" fillId="2" borderId="35" xfId="55" applyNumberFormat="1" applyFont="1" applyFill="1" applyBorder="1">
      <alignment vertical="center"/>
    </xf>
    <xf numFmtId="0" fontId="35" fillId="2" borderId="52" xfId="55" applyNumberFormat="1" applyFont="1" applyFill="1" applyBorder="1">
      <alignment vertical="center"/>
    </xf>
    <xf numFmtId="0" fontId="28" fillId="2" borderId="52" xfId="0" applyNumberFormat="1" applyFont="1" applyFill="1" applyBorder="1" applyAlignment="1">
      <alignment vertical="top"/>
    </xf>
    <xf numFmtId="0" fontId="28" fillId="2" borderId="85" xfId="0" applyNumberFormat="1" applyFont="1" applyFill="1" applyBorder="1" applyAlignment="1">
      <alignment vertical="top"/>
    </xf>
    <xf numFmtId="0" fontId="35" fillId="2" borderId="98" xfId="55" applyNumberFormat="1" applyFont="1" applyFill="1" applyBorder="1">
      <alignment vertical="center"/>
    </xf>
    <xf numFmtId="0" fontId="28" fillId="2" borderId="98" xfId="0" applyNumberFormat="1" applyFont="1" applyFill="1" applyBorder="1" applyAlignment="1">
      <alignment vertical="top"/>
    </xf>
    <xf numFmtId="0" fontId="35" fillId="2" borderId="85" xfId="55" applyNumberFormat="1" applyFont="1" applyFill="1" applyBorder="1">
      <alignment vertical="center"/>
    </xf>
    <xf numFmtId="0" fontId="35" fillId="2" borderId="95" xfId="55" applyNumberFormat="1" applyFont="1" applyFill="1" applyBorder="1">
      <alignment vertical="center"/>
    </xf>
    <xf numFmtId="0" fontId="28" fillId="2" borderId="94" xfId="0" applyNumberFormat="1" applyFont="1" applyFill="1" applyBorder="1" applyAlignment="1">
      <alignment vertical="top"/>
    </xf>
    <xf numFmtId="0" fontId="33" fillId="2" borderId="37" xfId="0" applyNumberFormat="1" applyFont="1" applyFill="1" applyBorder="1" applyAlignment="1">
      <alignment vertical="top"/>
    </xf>
    <xf numFmtId="0" fontId="28" fillId="2" borderId="6" xfId="0" applyNumberFormat="1" applyFont="1" applyFill="1" applyBorder="1" applyAlignment="1">
      <alignment vertical="top"/>
    </xf>
    <xf numFmtId="0" fontId="28" fillId="2" borderId="43" xfId="0" applyNumberFormat="1" applyFont="1" applyFill="1" applyBorder="1">
      <alignment vertical="center"/>
    </xf>
    <xf numFmtId="0" fontId="28" fillId="2" borderId="51" xfId="0" applyNumberFormat="1" applyFont="1" applyFill="1" applyBorder="1">
      <alignment vertical="center"/>
    </xf>
    <xf numFmtId="0" fontId="28" fillId="2" borderId="5" xfId="0" applyNumberFormat="1" applyFont="1" applyFill="1" applyBorder="1">
      <alignment vertical="center"/>
    </xf>
    <xf numFmtId="0" fontId="28" fillId="2" borderId="46" xfId="0" applyNumberFormat="1" applyFont="1" applyFill="1" applyBorder="1" applyAlignment="1">
      <alignment horizontal="center" vertical="top"/>
    </xf>
    <xf numFmtId="0" fontId="36" fillId="2" borderId="127" xfId="0" applyNumberFormat="1" applyFont="1" applyFill="1" applyBorder="1" applyAlignment="1">
      <alignment horizontal="center" vertical="center" wrapText="1"/>
    </xf>
    <xf numFmtId="0" fontId="37" fillId="2" borderId="127" xfId="0" applyNumberFormat="1" applyFont="1" applyFill="1" applyBorder="1" applyAlignment="1">
      <alignment horizontal="center" vertical="center" wrapText="1"/>
    </xf>
    <xf numFmtId="0" fontId="37" fillId="2" borderId="128" xfId="0" applyNumberFormat="1" applyFont="1" applyFill="1" applyBorder="1" applyAlignment="1">
      <alignment horizontal="center" vertical="center" wrapText="1"/>
    </xf>
    <xf numFmtId="176" fontId="28" fillId="29" borderId="129" xfId="0" applyNumberFormat="1" applyFont="1" applyFill="1" applyBorder="1" applyAlignment="1">
      <alignment vertical="center" shrinkToFit="1"/>
    </xf>
    <xf numFmtId="176" fontId="28" fillId="29" borderId="129" xfId="0" applyNumberFormat="1" applyFont="1" applyFill="1" applyBorder="1" applyAlignment="1">
      <alignment horizontal="right" vertical="center" shrinkToFit="1"/>
    </xf>
    <xf numFmtId="176" fontId="28" fillId="29" borderId="130" xfId="0" applyNumberFormat="1" applyFont="1" applyFill="1" applyBorder="1" applyAlignment="1">
      <alignment horizontal="right" vertical="center" shrinkToFit="1"/>
    </xf>
    <xf numFmtId="0" fontId="35" fillId="2" borderId="5" xfId="55" applyNumberFormat="1" applyFont="1" applyFill="1" applyBorder="1">
      <alignment vertical="center"/>
    </xf>
    <xf numFmtId="0" fontId="26" fillId="2" borderId="159" xfId="81" applyNumberFormat="1" applyFont="1" applyFill="1" applyBorder="1" applyAlignment="1" applyProtection="1">
      <alignment vertical="center"/>
    </xf>
    <xf numFmtId="176" fontId="28" fillId="29" borderId="161" xfId="0" applyNumberFormat="1" applyFont="1" applyFill="1" applyBorder="1" applyAlignment="1">
      <alignment vertical="center" shrinkToFit="1"/>
    </xf>
    <xf numFmtId="0" fontId="26" fillId="2" borderId="164" xfId="81" applyNumberFormat="1" applyFont="1" applyFill="1" applyBorder="1" applyAlignment="1" applyProtection="1">
      <alignment vertical="center"/>
    </xf>
    <xf numFmtId="0" fontId="28" fillId="2" borderId="159" xfId="0" applyNumberFormat="1" applyFont="1" applyFill="1" applyBorder="1" applyAlignment="1">
      <alignment vertical="center"/>
    </xf>
    <xf numFmtId="176" fontId="6" fillId="29" borderId="158" xfId="0" applyNumberFormat="1" applyFont="1" applyFill="1" applyBorder="1">
      <alignment vertical="center"/>
    </xf>
    <xf numFmtId="176" fontId="28" fillId="29" borderId="161" xfId="0" applyNumberFormat="1" applyFont="1" applyFill="1" applyBorder="1">
      <alignment vertical="center"/>
    </xf>
    <xf numFmtId="176" fontId="28" fillId="29" borderId="161" xfId="0" applyNumberFormat="1" applyFont="1" applyFill="1" applyBorder="1" applyAlignment="1">
      <alignment horizontal="right" vertical="center" shrinkToFit="1"/>
    </xf>
    <xf numFmtId="176" fontId="28" fillId="29" borderId="162" xfId="0" applyNumberFormat="1" applyFont="1" applyFill="1" applyBorder="1" applyAlignment="1">
      <alignment horizontal="right" vertical="center" shrinkToFit="1"/>
    </xf>
    <xf numFmtId="176" fontId="28" fillId="27" borderId="161" xfId="0" applyNumberFormat="1" applyFont="1" applyFill="1" applyBorder="1">
      <alignment vertical="center"/>
    </xf>
    <xf numFmtId="176" fontId="28" fillId="27" borderId="161" xfId="0" applyNumberFormat="1" applyFont="1" applyFill="1" applyBorder="1" applyAlignment="1">
      <alignment horizontal="right" vertical="center" shrinkToFit="1"/>
    </xf>
    <xf numFmtId="176" fontId="28" fillId="27" borderId="162" xfId="0" applyNumberFormat="1" applyFont="1" applyFill="1" applyBorder="1" applyAlignment="1">
      <alignment horizontal="right" vertical="center" shrinkToFit="1"/>
    </xf>
    <xf numFmtId="0" fontId="28" fillId="27" borderId="159" xfId="0" applyNumberFormat="1" applyFont="1" applyFill="1" applyBorder="1" applyAlignment="1">
      <alignment vertical="center"/>
    </xf>
    <xf numFmtId="0" fontId="28" fillId="27" borderId="165" xfId="0" applyNumberFormat="1" applyFont="1" applyFill="1" applyBorder="1" applyAlignment="1">
      <alignment vertical="center"/>
    </xf>
    <xf numFmtId="176" fontId="6" fillId="29" borderId="95" xfId="0" applyNumberFormat="1" applyFont="1" applyFill="1" applyBorder="1">
      <alignment vertical="center"/>
    </xf>
    <xf numFmtId="176" fontId="28" fillId="27" borderId="131" xfId="0" applyNumberFormat="1" applyFont="1" applyFill="1" applyBorder="1">
      <alignment vertical="center"/>
    </xf>
    <xf numFmtId="176" fontId="28" fillId="27" borderId="131" xfId="0" applyNumberFormat="1" applyFont="1" applyFill="1" applyBorder="1" applyAlignment="1">
      <alignment horizontal="right" vertical="center" shrinkToFit="1"/>
    </xf>
    <xf numFmtId="176" fontId="28" fillId="27" borderId="121" xfId="0" applyNumberFormat="1" applyFont="1" applyFill="1" applyBorder="1" applyAlignment="1">
      <alignment horizontal="right" vertical="center" shrinkToFit="1"/>
    </xf>
    <xf numFmtId="176" fontId="28" fillId="29" borderId="131" xfId="0" applyNumberFormat="1" applyFont="1" applyFill="1" applyBorder="1">
      <alignment vertical="center"/>
    </xf>
    <xf numFmtId="176" fontId="28" fillId="29" borderId="131" xfId="0" applyNumberFormat="1" applyFont="1" applyFill="1" applyBorder="1" applyAlignment="1">
      <alignment horizontal="right" vertical="center" shrinkToFit="1"/>
    </xf>
    <xf numFmtId="176" fontId="28" fillId="29" borderId="121" xfId="0" applyNumberFormat="1" applyFont="1" applyFill="1" applyBorder="1" applyAlignment="1">
      <alignment horizontal="right" vertical="center" shrinkToFit="1"/>
    </xf>
    <xf numFmtId="0" fontId="35" fillId="27" borderId="98" xfId="55" applyNumberFormat="1" applyFont="1" applyFill="1" applyBorder="1">
      <alignment vertical="center"/>
    </xf>
    <xf numFmtId="0" fontId="26" fillId="27" borderId="133" xfId="81" applyNumberFormat="1" applyFont="1" applyFill="1" applyBorder="1" applyAlignment="1" applyProtection="1">
      <alignment vertical="center"/>
    </xf>
    <xf numFmtId="0" fontId="35" fillId="27" borderId="134" xfId="55" applyNumberFormat="1" applyFont="1" applyFill="1" applyBorder="1">
      <alignment vertical="center"/>
    </xf>
    <xf numFmtId="0" fontId="26" fillId="2" borderId="133" xfId="81" applyNumberFormat="1" applyFont="1" applyFill="1" applyBorder="1" applyAlignment="1" applyProtection="1">
      <alignment vertical="center"/>
    </xf>
    <xf numFmtId="0" fontId="28" fillId="2" borderId="85" xfId="0" applyNumberFormat="1" applyFont="1" applyFill="1" applyBorder="1">
      <alignment vertical="center"/>
    </xf>
    <xf numFmtId="0" fontId="28" fillId="2" borderId="177" xfId="0" applyNumberFormat="1" applyFont="1" applyFill="1" applyBorder="1">
      <alignment vertical="center"/>
    </xf>
    <xf numFmtId="0" fontId="28" fillId="2" borderId="160" xfId="0" applyNumberFormat="1" applyFont="1" applyFill="1" applyBorder="1">
      <alignment vertical="center"/>
    </xf>
    <xf numFmtId="176" fontId="28" fillId="29" borderId="131" xfId="0" applyNumberFormat="1" applyFont="1" applyFill="1" applyBorder="1" applyAlignment="1">
      <alignment vertical="center" shrinkToFit="1"/>
    </xf>
    <xf numFmtId="176" fontId="28" fillId="29" borderId="121" xfId="0" applyNumberFormat="1" applyFont="1" applyFill="1" applyBorder="1" applyAlignment="1">
      <alignment vertical="center" shrinkToFit="1"/>
    </xf>
    <xf numFmtId="0" fontId="6" fillId="2" borderId="167" xfId="0" applyNumberFormat="1" applyFont="1" applyFill="1" applyBorder="1">
      <alignment vertical="center"/>
    </xf>
    <xf numFmtId="176" fontId="6" fillId="28" borderId="171" xfId="0" applyNumberFormat="1" applyFont="1" applyFill="1" applyBorder="1" applyAlignment="1">
      <alignment vertical="center" shrinkToFit="1"/>
    </xf>
    <xf numFmtId="176" fontId="6" fillId="28" borderId="172" xfId="0" applyNumberFormat="1" applyFont="1" applyFill="1" applyBorder="1" applyAlignment="1">
      <alignment vertical="center" shrinkToFit="1"/>
    </xf>
    <xf numFmtId="0" fontId="39" fillId="2" borderId="0" xfId="0" applyNumberFormat="1" applyFont="1" applyFill="1">
      <alignment vertical="center"/>
    </xf>
    <xf numFmtId="0" fontId="6" fillId="2" borderId="184" xfId="0" applyNumberFormat="1" applyFont="1" applyFill="1" applyBorder="1">
      <alignment vertical="center"/>
    </xf>
    <xf numFmtId="0" fontId="6" fillId="27" borderId="166" xfId="0" applyNumberFormat="1" applyFont="1" applyFill="1" applyBorder="1">
      <alignment vertical="center"/>
    </xf>
    <xf numFmtId="0" fontId="6" fillId="27" borderId="160" xfId="0" applyNumberFormat="1" applyFont="1" applyFill="1" applyBorder="1">
      <alignment vertical="center"/>
    </xf>
    <xf numFmtId="0" fontId="6" fillId="27" borderId="182" xfId="0" applyNumberFormat="1" applyFont="1" applyFill="1" applyBorder="1">
      <alignment vertical="center"/>
    </xf>
    <xf numFmtId="0" fontId="6" fillId="2" borderId="182" xfId="0" applyNumberFormat="1" applyFont="1" applyFill="1" applyBorder="1">
      <alignment vertical="center"/>
    </xf>
    <xf numFmtId="0" fontId="28" fillId="27" borderId="158" xfId="0" applyNumberFormat="1" applyFont="1" applyFill="1" applyBorder="1">
      <alignment vertical="center"/>
    </xf>
    <xf numFmtId="0" fontId="28" fillId="27" borderId="52" xfId="0" applyNumberFormat="1" applyFont="1" applyFill="1" applyBorder="1">
      <alignment vertical="center"/>
    </xf>
    <xf numFmtId="176" fontId="28" fillId="27" borderId="131" xfId="0" applyNumberFormat="1" applyFont="1" applyFill="1" applyBorder="1" applyAlignment="1">
      <alignment vertical="center" shrinkToFit="1"/>
    </xf>
    <xf numFmtId="176" fontId="28" fillId="27" borderId="121" xfId="0" applyNumberFormat="1" applyFont="1" applyFill="1" applyBorder="1" applyAlignment="1">
      <alignment vertical="center" shrinkToFit="1"/>
    </xf>
    <xf numFmtId="0" fontId="28" fillId="27" borderId="95" xfId="0" applyNumberFormat="1" applyFont="1" applyFill="1" applyBorder="1">
      <alignment vertical="center"/>
    </xf>
    <xf numFmtId="176" fontId="6" fillId="27" borderId="95" xfId="0" applyNumberFormat="1" applyFont="1" applyFill="1" applyBorder="1" applyAlignment="1">
      <alignment vertical="center" shrinkToFit="1"/>
    </xf>
    <xf numFmtId="176" fontId="28" fillId="2" borderId="135" xfId="0" applyNumberFormat="1" applyFont="1" applyFill="1" applyBorder="1">
      <alignment vertical="center"/>
    </xf>
    <xf numFmtId="176" fontId="28" fillId="2" borderId="135" xfId="0" applyNumberFormat="1" applyFont="1" applyFill="1" applyBorder="1" applyAlignment="1">
      <alignment vertical="center" shrinkToFit="1"/>
    </xf>
    <xf numFmtId="176" fontId="28" fillId="2" borderId="136" xfId="0" applyNumberFormat="1" applyFont="1" applyFill="1" applyBorder="1" applyAlignment="1">
      <alignment vertical="center" shrinkToFit="1"/>
    </xf>
    <xf numFmtId="0" fontId="28" fillId="27" borderId="93" xfId="0" applyNumberFormat="1" applyFont="1" applyFill="1" applyBorder="1">
      <alignment vertical="center"/>
    </xf>
    <xf numFmtId="0" fontId="28" fillId="27" borderId="85" xfId="0" applyNumberFormat="1" applyFont="1" applyFill="1" applyBorder="1">
      <alignment vertical="center"/>
    </xf>
    <xf numFmtId="176" fontId="6" fillId="27" borderId="93" xfId="0" applyNumberFormat="1" applyFont="1" applyFill="1" applyBorder="1" applyAlignment="1">
      <alignment vertical="center" shrinkToFit="1"/>
    </xf>
    <xf numFmtId="176" fontId="28" fillId="2" borderId="137" xfId="0" applyNumberFormat="1" applyFont="1" applyFill="1" applyBorder="1">
      <alignment vertical="center"/>
    </xf>
    <xf numFmtId="176" fontId="28" fillId="2" borderId="137" xfId="0" applyNumberFormat="1" applyFont="1" applyFill="1" applyBorder="1" applyAlignment="1">
      <alignment vertical="center" shrinkToFit="1"/>
    </xf>
    <xf numFmtId="176" fontId="28" fillId="2" borderId="138" xfId="0" applyNumberFormat="1" applyFont="1" applyFill="1" applyBorder="1" applyAlignment="1">
      <alignment vertical="center" shrinkToFit="1"/>
    </xf>
    <xf numFmtId="176" fontId="6" fillId="29" borderId="31" xfId="0" applyNumberFormat="1" applyFont="1" applyFill="1" applyBorder="1" applyAlignment="1">
      <alignment vertical="center" shrinkToFit="1"/>
    </xf>
    <xf numFmtId="176" fontId="28" fillId="2" borderId="139" xfId="0" applyNumberFormat="1" applyFont="1" applyFill="1" applyBorder="1">
      <alignment vertical="center"/>
    </xf>
    <xf numFmtId="176" fontId="28" fillId="2" borderId="139" xfId="0" applyNumberFormat="1" applyFont="1" applyFill="1" applyBorder="1" applyAlignment="1">
      <alignment vertical="center" shrinkToFit="1"/>
    </xf>
    <xf numFmtId="176" fontId="28" fillId="2" borderId="140" xfId="0" applyNumberFormat="1" applyFont="1" applyFill="1" applyBorder="1" applyAlignment="1">
      <alignment vertical="center" shrinkToFit="1"/>
    </xf>
    <xf numFmtId="10" fontId="6" fillId="27" borderId="46" xfId="0" applyNumberFormat="1" applyFont="1" applyFill="1" applyBorder="1" applyAlignment="1">
      <alignment vertical="center" shrinkToFit="1"/>
    </xf>
    <xf numFmtId="176" fontId="28" fillId="2" borderId="141" xfId="0" applyNumberFormat="1" applyFont="1" applyFill="1" applyBorder="1">
      <alignment vertical="center"/>
    </xf>
    <xf numFmtId="176" fontId="28" fillId="2" borderId="141" xfId="0" applyNumberFormat="1" applyFont="1" applyFill="1" applyBorder="1" applyAlignment="1">
      <alignment vertical="center" shrinkToFit="1"/>
    </xf>
    <xf numFmtId="176" fontId="28" fillId="2" borderId="142" xfId="0" applyNumberFormat="1" applyFont="1" applyFill="1" applyBorder="1" applyAlignment="1">
      <alignment vertical="center" shrinkToFit="1"/>
    </xf>
    <xf numFmtId="176" fontId="28" fillId="2" borderId="0" xfId="0" applyNumberFormat="1" applyFont="1" applyFill="1" applyBorder="1">
      <alignment vertical="center"/>
    </xf>
    <xf numFmtId="0" fontId="26" fillId="2" borderId="7" xfId="81" applyNumberFormat="1" applyFont="1" applyFill="1" applyBorder="1" applyAlignment="1" applyProtection="1">
      <alignment vertical="center"/>
    </xf>
    <xf numFmtId="176" fontId="28" fillId="29" borderId="143" xfId="0" applyNumberFormat="1" applyFont="1" applyFill="1" applyBorder="1" applyAlignment="1">
      <alignment vertical="center"/>
    </xf>
    <xf numFmtId="176" fontId="28" fillId="29" borderId="144" xfId="0" applyNumberFormat="1" applyFont="1" applyFill="1" applyBorder="1" applyAlignment="1">
      <alignment vertical="center"/>
    </xf>
    <xf numFmtId="176" fontId="28" fillId="27" borderId="131" xfId="0" applyNumberFormat="1" applyFont="1" applyFill="1" applyBorder="1" applyAlignment="1">
      <alignment vertical="center"/>
    </xf>
    <xf numFmtId="176" fontId="28" fillId="27" borderId="121" xfId="0" applyNumberFormat="1" applyFont="1" applyFill="1" applyBorder="1" applyAlignment="1">
      <alignment vertical="center"/>
    </xf>
    <xf numFmtId="0" fontId="26" fillId="27" borderId="159" xfId="81" applyNumberFormat="1" applyFont="1" applyFill="1" applyBorder="1" applyAlignment="1" applyProtection="1">
      <alignment vertical="center"/>
    </xf>
    <xf numFmtId="0" fontId="26" fillId="27" borderId="165" xfId="81" applyNumberFormat="1" applyFont="1" applyFill="1" applyBorder="1" applyAlignment="1" applyProtection="1">
      <alignment vertical="center"/>
    </xf>
    <xf numFmtId="176" fontId="28" fillId="29" borderId="158" xfId="0" applyNumberFormat="1" applyFont="1" applyFill="1" applyBorder="1" applyAlignment="1">
      <alignment vertical="center"/>
    </xf>
    <xf numFmtId="176" fontId="28" fillId="28" borderId="161" xfId="0" applyNumberFormat="1" applyFont="1" applyFill="1" applyBorder="1" applyAlignment="1">
      <alignment vertical="center"/>
    </xf>
    <xf numFmtId="176" fontId="28" fillId="28" borderId="162" xfId="0" applyNumberFormat="1" applyFont="1" applyFill="1" applyBorder="1" applyAlignment="1">
      <alignment vertical="center"/>
    </xf>
    <xf numFmtId="0" fontId="26" fillId="2" borderId="145" xfId="81" applyNumberFormat="1" applyFont="1" applyFill="1" applyBorder="1" applyAlignment="1" applyProtection="1">
      <alignment vertical="center"/>
    </xf>
    <xf numFmtId="0" fontId="28" fillId="2" borderId="95" xfId="0" applyNumberFormat="1" applyFont="1" applyFill="1" applyBorder="1" applyAlignment="1">
      <alignment vertical="center"/>
    </xf>
    <xf numFmtId="0" fontId="28" fillId="2" borderId="131" xfId="0" applyNumberFormat="1" applyFont="1" applyFill="1" applyBorder="1" applyAlignment="1">
      <alignment vertical="center"/>
    </xf>
    <xf numFmtId="0" fontId="28" fillId="2" borderId="121" xfId="0" applyNumberFormat="1" applyFont="1" applyFill="1" applyBorder="1" applyAlignment="1">
      <alignment vertical="center"/>
    </xf>
    <xf numFmtId="180" fontId="28" fillId="29" borderId="71" xfId="0" applyNumberFormat="1" applyFont="1" applyFill="1" applyBorder="1" applyAlignment="1">
      <alignment vertical="center"/>
    </xf>
    <xf numFmtId="180" fontId="28" fillId="29" borderId="131" xfId="0" applyNumberFormat="1" applyFont="1" applyFill="1" applyBorder="1" applyAlignment="1">
      <alignment vertical="center"/>
    </xf>
    <xf numFmtId="180" fontId="28" fillId="29" borderId="121" xfId="0" applyNumberFormat="1" applyFont="1" applyFill="1" applyBorder="1" applyAlignment="1">
      <alignment vertical="center"/>
    </xf>
    <xf numFmtId="176" fontId="28" fillId="2" borderId="95" xfId="0" applyNumberFormat="1" applyFont="1" applyFill="1" applyBorder="1" applyAlignment="1">
      <alignment vertical="center"/>
    </xf>
    <xf numFmtId="176" fontId="28" fillId="2" borderId="131" xfId="0" applyNumberFormat="1" applyFont="1" applyFill="1" applyBorder="1" applyAlignment="1">
      <alignment vertical="center"/>
    </xf>
    <xf numFmtId="176" fontId="28" fillId="2" borderId="121" xfId="0" applyNumberFormat="1" applyFont="1" applyFill="1" applyBorder="1" applyAlignment="1">
      <alignment vertical="center"/>
    </xf>
    <xf numFmtId="0" fontId="26" fillId="2" borderId="29" xfId="81" applyNumberFormat="1" applyFont="1" applyFill="1" applyBorder="1" applyAlignment="1" applyProtection="1">
      <alignment vertical="center"/>
    </xf>
    <xf numFmtId="0" fontId="26" fillId="2" borderId="74" xfId="81" applyNumberFormat="1" applyFont="1" applyFill="1" applyBorder="1" applyAlignment="1" applyProtection="1">
      <alignment vertical="center"/>
    </xf>
    <xf numFmtId="0" fontId="26" fillId="2" borderId="14" xfId="81" applyNumberFormat="1" applyFont="1" applyFill="1" applyBorder="1" applyAlignment="1" applyProtection="1">
      <alignment vertical="center"/>
    </xf>
    <xf numFmtId="176" fontId="28" fillId="29" borderId="93" xfId="0" applyNumberFormat="1" applyFont="1" applyFill="1" applyBorder="1" applyAlignment="1">
      <alignment vertical="center"/>
    </xf>
    <xf numFmtId="176" fontId="28" fillId="29" borderId="146" xfId="0" applyNumberFormat="1" applyFont="1" applyFill="1" applyBorder="1" applyAlignment="1">
      <alignment vertical="center"/>
    </xf>
    <xf numFmtId="176" fontId="28" fillId="29" borderId="147" xfId="0" applyNumberFormat="1" applyFont="1" applyFill="1" applyBorder="1" applyAlignment="1">
      <alignment vertical="center"/>
    </xf>
    <xf numFmtId="0" fontId="26" fillId="2" borderId="9" xfId="81" applyNumberFormat="1" applyFont="1" applyFill="1" applyBorder="1" applyAlignment="1" applyProtection="1">
      <alignment vertical="center"/>
    </xf>
    <xf numFmtId="0" fontId="26" fillId="27" borderId="74" xfId="81" applyNumberFormat="1" applyFont="1" applyFill="1" applyBorder="1" applyAlignment="1" applyProtection="1">
      <alignment vertical="center"/>
    </xf>
    <xf numFmtId="176" fontId="28" fillId="29" borderId="121" xfId="0" applyNumberFormat="1" applyFont="1" applyFill="1" applyBorder="1">
      <alignment vertical="center"/>
    </xf>
    <xf numFmtId="0" fontId="26" fillId="2" borderId="46" xfId="81" applyNumberFormat="1" applyFont="1" applyFill="1" applyBorder="1" applyAlignment="1" applyProtection="1">
      <alignment vertical="center"/>
    </xf>
    <xf numFmtId="176" fontId="28" fillId="29" borderId="96" xfId="0" applyNumberFormat="1" applyFont="1" applyFill="1" applyBorder="1" applyAlignment="1">
      <alignment vertical="center"/>
    </xf>
    <xf numFmtId="176" fontId="28" fillId="29" borderId="148" xfId="0" applyNumberFormat="1" applyFont="1" applyFill="1" applyBorder="1">
      <alignment vertical="center"/>
    </xf>
    <xf numFmtId="176" fontId="28" fillId="29" borderId="123" xfId="0" applyNumberFormat="1" applyFont="1" applyFill="1" applyBorder="1">
      <alignment vertical="center"/>
    </xf>
    <xf numFmtId="0" fontId="28" fillId="2" borderId="37" xfId="0" applyNumberFormat="1" applyFont="1" applyFill="1" applyBorder="1">
      <alignment vertical="center"/>
    </xf>
    <xf numFmtId="0" fontId="28" fillId="2" borderId="6" xfId="0" applyNumberFormat="1" applyFont="1" applyFill="1" applyBorder="1">
      <alignment vertical="center"/>
    </xf>
    <xf numFmtId="0" fontId="28" fillId="2" borderId="37" xfId="0" applyNumberFormat="1" applyFont="1" applyFill="1" applyBorder="1" applyAlignment="1">
      <alignment vertical="center"/>
    </xf>
    <xf numFmtId="0" fontId="28" fillId="29" borderId="143" xfId="0" applyNumberFormat="1" applyFont="1" applyFill="1" applyBorder="1" applyAlignment="1">
      <alignment vertical="center"/>
    </xf>
    <xf numFmtId="0" fontId="28" fillId="29" borderId="144" xfId="0" applyNumberFormat="1" applyFont="1" applyFill="1" applyBorder="1" applyAlignment="1">
      <alignment vertical="center"/>
    </xf>
    <xf numFmtId="185" fontId="28" fillId="2" borderId="149" xfId="0" applyNumberFormat="1" applyFont="1" applyFill="1" applyBorder="1" applyAlignment="1">
      <alignment vertical="center"/>
    </xf>
    <xf numFmtId="186" fontId="28" fillId="27" borderId="131" xfId="0" applyNumberFormat="1" applyFont="1" applyFill="1" applyBorder="1" applyAlignment="1">
      <alignment vertical="center"/>
    </xf>
    <xf numFmtId="186" fontId="28" fillId="27" borderId="121" xfId="0" applyNumberFormat="1" applyFont="1" applyFill="1" applyBorder="1" applyAlignment="1">
      <alignment vertical="center"/>
    </xf>
    <xf numFmtId="0" fontId="28" fillId="2" borderId="23" xfId="0" applyNumberFormat="1" applyFont="1" applyFill="1" applyBorder="1">
      <alignment vertical="center"/>
    </xf>
    <xf numFmtId="0" fontId="28" fillId="30" borderId="71" xfId="0" applyNumberFormat="1" applyFont="1" applyFill="1" applyBorder="1">
      <alignment vertical="center"/>
    </xf>
    <xf numFmtId="0" fontId="28" fillId="30" borderId="98" xfId="0" applyNumberFormat="1" applyFont="1" applyFill="1" applyBorder="1">
      <alignment vertical="center"/>
    </xf>
    <xf numFmtId="186" fontId="28" fillId="30" borderId="131" xfId="0" applyNumberFormat="1" applyFont="1" applyFill="1" applyBorder="1" applyAlignment="1">
      <alignment vertical="center"/>
    </xf>
    <xf numFmtId="186" fontId="28" fillId="30" borderId="121" xfId="0" applyNumberFormat="1" applyFont="1" applyFill="1" applyBorder="1" applyAlignment="1">
      <alignment vertical="center"/>
    </xf>
    <xf numFmtId="176" fontId="28" fillId="2" borderId="135" xfId="0" applyNumberFormat="1" applyFont="1" applyFill="1" applyBorder="1" applyAlignment="1">
      <alignment vertical="center"/>
    </xf>
    <xf numFmtId="176" fontId="28" fillId="2" borderId="136" xfId="0" applyNumberFormat="1" applyFont="1" applyFill="1" applyBorder="1" applyAlignment="1">
      <alignment vertical="center"/>
    </xf>
    <xf numFmtId="0" fontId="28" fillId="27" borderId="74" xfId="0" applyNumberFormat="1" applyFont="1" applyFill="1" applyBorder="1">
      <alignment vertical="center"/>
    </xf>
    <xf numFmtId="0" fontId="28" fillId="27" borderId="22" xfId="0" applyNumberFormat="1" applyFont="1" applyFill="1" applyBorder="1">
      <alignment vertical="center"/>
    </xf>
    <xf numFmtId="0" fontId="28" fillId="27" borderId="0" xfId="0" applyNumberFormat="1" applyFont="1" applyFill="1" applyBorder="1">
      <alignment vertical="center"/>
    </xf>
    <xf numFmtId="176" fontId="28" fillId="27" borderId="93" xfId="0" applyNumberFormat="1" applyFont="1" applyFill="1" applyBorder="1" applyAlignment="1">
      <alignment vertical="center"/>
    </xf>
    <xf numFmtId="176" fontId="28" fillId="2" borderId="137" xfId="0" applyNumberFormat="1" applyFont="1" applyFill="1" applyBorder="1" applyAlignment="1">
      <alignment vertical="center"/>
    </xf>
    <xf numFmtId="176" fontId="28" fillId="2" borderId="138" xfId="0" applyNumberFormat="1" applyFont="1" applyFill="1" applyBorder="1" applyAlignment="1">
      <alignment vertical="center"/>
    </xf>
    <xf numFmtId="0" fontId="28" fillId="2" borderId="46" xfId="0" applyNumberFormat="1" applyFont="1" applyFill="1" applyBorder="1">
      <alignment vertical="center"/>
    </xf>
    <xf numFmtId="0" fontId="28" fillId="2" borderId="53" xfId="0" applyNumberFormat="1" applyFont="1" applyFill="1" applyBorder="1">
      <alignment vertical="center"/>
    </xf>
    <xf numFmtId="0" fontId="28" fillId="2" borderId="47" xfId="0" applyNumberFormat="1" applyFont="1" applyFill="1" applyBorder="1">
      <alignment vertical="center"/>
    </xf>
    <xf numFmtId="0" fontId="28" fillId="27" borderId="65" xfId="0" applyNumberFormat="1" applyFont="1" applyFill="1" applyBorder="1">
      <alignment vertical="center"/>
    </xf>
    <xf numFmtId="0" fontId="28" fillId="27" borderId="94" xfId="0" applyNumberFormat="1" applyFont="1" applyFill="1" applyBorder="1">
      <alignment vertical="center"/>
    </xf>
    <xf numFmtId="176" fontId="28" fillId="27" borderId="96" xfId="0" applyNumberFormat="1" applyFont="1" applyFill="1" applyBorder="1" applyAlignment="1">
      <alignment vertical="center"/>
    </xf>
    <xf numFmtId="176" fontId="28" fillId="2" borderId="151" xfId="0" applyNumberFormat="1" applyFont="1" applyFill="1" applyBorder="1" applyAlignment="1">
      <alignment vertical="center"/>
    </xf>
    <xf numFmtId="176" fontId="28" fillId="2" borderId="152" xfId="0" applyNumberFormat="1" applyFont="1" applyFill="1" applyBorder="1" applyAlignment="1">
      <alignment vertical="center"/>
    </xf>
    <xf numFmtId="0" fontId="28" fillId="2" borderId="44" xfId="0" applyNumberFormat="1" applyFont="1" applyFill="1" applyBorder="1">
      <alignment vertical="center"/>
    </xf>
    <xf numFmtId="0" fontId="28" fillId="2" borderId="40" xfId="0" applyNumberFormat="1" applyFont="1" applyFill="1" applyBorder="1">
      <alignment vertical="center"/>
    </xf>
    <xf numFmtId="0" fontId="28" fillId="2" borderId="7" xfId="0" applyNumberFormat="1" applyFont="1" applyFill="1" applyBorder="1">
      <alignment vertical="center"/>
    </xf>
    <xf numFmtId="185" fontId="28" fillId="2" borderId="131" xfId="0" applyNumberFormat="1" applyFont="1" applyFill="1" applyBorder="1" applyAlignment="1">
      <alignment vertical="center"/>
    </xf>
    <xf numFmtId="185" fontId="28" fillId="2" borderId="121" xfId="0" applyNumberFormat="1" applyFont="1" applyFill="1" applyBorder="1" applyAlignment="1">
      <alignment vertical="center"/>
    </xf>
    <xf numFmtId="0" fontId="28" fillId="2" borderId="28" xfId="0" applyNumberFormat="1" applyFont="1" applyFill="1" applyBorder="1">
      <alignment vertical="center"/>
    </xf>
    <xf numFmtId="0" fontId="28" fillId="2" borderId="65" xfId="0" applyNumberFormat="1" applyFont="1" applyFill="1" applyBorder="1">
      <alignment vertical="center"/>
    </xf>
    <xf numFmtId="0" fontId="28" fillId="2" borderId="19" xfId="0" applyNumberFormat="1" applyFont="1" applyFill="1" applyBorder="1">
      <alignment vertical="center"/>
    </xf>
    <xf numFmtId="176" fontId="28" fillId="2" borderId="96" xfId="0" applyNumberFormat="1" applyFont="1" applyFill="1" applyBorder="1" applyAlignme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14" fontId="35" fillId="0" borderId="0" xfId="0" applyNumberFormat="1" applyFont="1" applyAlignment="1">
      <alignment horizontal="left" vertical="center"/>
    </xf>
    <xf numFmtId="0" fontId="34" fillId="0" borderId="0" xfId="0" applyFont="1" applyAlignment="1"/>
    <xf numFmtId="0" fontId="35" fillId="0" borderId="0" xfId="0" applyFont="1" applyAlignment="1"/>
    <xf numFmtId="0" fontId="35" fillId="2" borderId="33" xfId="0" applyFont="1" applyFill="1" applyBorder="1">
      <alignment vertical="center"/>
    </xf>
    <xf numFmtId="0" fontId="35" fillId="26" borderId="46" xfId="0" applyFont="1" applyFill="1" applyBorder="1">
      <alignment vertical="center"/>
    </xf>
    <xf numFmtId="0" fontId="35" fillId="26" borderId="31" xfId="0" applyFont="1" applyFill="1" applyBorder="1">
      <alignment vertical="center"/>
    </xf>
    <xf numFmtId="0" fontId="35" fillId="0" borderId="31" xfId="0" applyFont="1" applyBorder="1" applyAlignment="1">
      <alignment vertical="top"/>
    </xf>
    <xf numFmtId="0" fontId="35" fillId="2" borderId="105" xfId="0" applyFont="1" applyFill="1" applyBorder="1">
      <alignment vertical="center"/>
    </xf>
    <xf numFmtId="0" fontId="35" fillId="2" borderId="107" xfId="0" applyFont="1" applyFill="1" applyBorder="1">
      <alignment vertical="center"/>
    </xf>
    <xf numFmtId="0" fontId="35" fillId="0" borderId="37" xfId="0" applyFont="1" applyBorder="1" applyAlignment="1">
      <alignment vertical="top"/>
    </xf>
    <xf numFmtId="0" fontId="35" fillId="0" borderId="37" xfId="0" applyFont="1" applyFill="1" applyBorder="1" applyAlignment="1">
      <alignment vertical="top"/>
    </xf>
    <xf numFmtId="0" fontId="35" fillId="0" borderId="95" xfId="0" applyFont="1" applyBorder="1" applyAlignment="1">
      <alignment horizontal="left" vertical="top"/>
    </xf>
    <xf numFmtId="0" fontId="35" fillId="0" borderId="96" xfId="0" applyFont="1" applyBorder="1" applyAlignment="1">
      <alignment vertical="top"/>
    </xf>
    <xf numFmtId="0" fontId="35" fillId="2" borderId="106" xfId="0" applyFont="1" applyFill="1" applyBorder="1">
      <alignment vertical="center"/>
    </xf>
    <xf numFmtId="0" fontId="6" fillId="2" borderId="37" xfId="3" applyFont="1" applyFill="1" applyBorder="1" applyAlignment="1" applyProtection="1">
      <alignment horizontal="left" vertical="top"/>
    </xf>
    <xf numFmtId="0" fontId="6" fillId="2" borderId="96" xfId="3" applyFont="1" applyFill="1" applyBorder="1" applyAlignment="1" applyProtection="1">
      <alignment horizontal="left" vertical="top"/>
    </xf>
    <xf numFmtId="0" fontId="35" fillId="2" borderId="0" xfId="0" applyFont="1" applyFill="1">
      <alignment vertical="center"/>
    </xf>
    <xf numFmtId="0" fontId="35" fillId="2" borderId="0" xfId="0" applyFont="1" applyFill="1" applyAlignment="1">
      <alignment horizontal="right" vertical="center"/>
    </xf>
    <xf numFmtId="14" fontId="35" fillId="2" borderId="0" xfId="0" applyNumberFormat="1" applyFont="1" applyFill="1" applyAlignment="1">
      <alignment horizontal="left" vertical="center"/>
    </xf>
    <xf numFmtId="0" fontId="33" fillId="2" borderId="0" xfId="0" applyFont="1" applyFill="1">
      <alignment vertical="center"/>
    </xf>
    <xf numFmtId="0" fontId="35" fillId="2" borderId="0" xfId="0" applyFont="1" applyFill="1" applyAlignment="1">
      <alignment horizontal="left" vertical="top"/>
    </xf>
    <xf numFmtId="0" fontId="6" fillId="2" borderId="32" xfId="3" applyFont="1" applyFill="1" applyBorder="1" applyAlignment="1" applyProtection="1">
      <alignment horizontal="left" vertical="top"/>
    </xf>
    <xf numFmtId="0" fontId="6" fillId="2" borderId="32" xfId="3" applyFont="1" applyFill="1" applyBorder="1" applyAlignment="1" applyProtection="1">
      <alignment horizontal="center" vertical="center"/>
    </xf>
    <xf numFmtId="0" fontId="6" fillId="2" borderId="31" xfId="2" applyFont="1" applyFill="1" applyBorder="1" applyAlignment="1" applyProtection="1">
      <alignment horizontal="center" vertical="center"/>
    </xf>
    <xf numFmtId="0" fontId="6" fillId="2" borderId="34" xfId="2" applyFont="1" applyFill="1" applyBorder="1" applyAlignment="1" applyProtection="1">
      <alignment horizontal="center" vertical="center"/>
    </xf>
    <xf numFmtId="0" fontId="35" fillId="2" borderId="12" xfId="3" applyFont="1" applyFill="1" applyBorder="1" applyAlignment="1" applyProtection="1">
      <alignment vertical="center"/>
    </xf>
    <xf numFmtId="0" fontId="6" fillId="2" borderId="35" xfId="3" applyFont="1" applyFill="1" applyBorder="1" applyAlignment="1" applyProtection="1">
      <alignment horizontal="left" vertical="top"/>
    </xf>
    <xf numFmtId="0" fontId="6" fillId="2" borderId="0" xfId="3" applyFont="1" applyFill="1" applyBorder="1" applyAlignment="1" applyProtection="1">
      <alignment vertical="center"/>
    </xf>
    <xf numFmtId="0" fontId="35" fillId="2" borderId="35" xfId="0" applyFont="1" applyFill="1" applyBorder="1">
      <alignment vertical="center"/>
    </xf>
    <xf numFmtId="0" fontId="35" fillId="2" borderId="9" xfId="0" applyFont="1" applyFill="1" applyBorder="1">
      <alignment vertical="center"/>
    </xf>
    <xf numFmtId="0" fontId="35" fillId="2" borderId="97" xfId="0" applyFont="1" applyFill="1" applyBorder="1">
      <alignment vertical="center"/>
    </xf>
    <xf numFmtId="0" fontId="35" fillId="2" borderId="41" xfId="0" applyFont="1" applyFill="1" applyBorder="1">
      <alignment vertical="center"/>
    </xf>
    <xf numFmtId="0" fontId="35" fillId="2" borderId="39" xfId="0" applyFont="1" applyFill="1" applyBorder="1">
      <alignment vertical="center"/>
    </xf>
    <xf numFmtId="0" fontId="35" fillId="2" borderId="40" xfId="0" applyFont="1" applyFill="1" applyBorder="1">
      <alignment vertical="center"/>
    </xf>
    <xf numFmtId="0" fontId="35" fillId="2" borderId="42" xfId="0" applyFont="1" applyFill="1" applyBorder="1">
      <alignment vertical="center"/>
    </xf>
    <xf numFmtId="0" fontId="35" fillId="2" borderId="74" xfId="3" applyFont="1" applyFill="1" applyBorder="1" applyAlignment="1" applyProtection="1">
      <alignment vertical="center"/>
    </xf>
    <xf numFmtId="176" fontId="35" fillId="27" borderId="95" xfId="0" applyNumberFormat="1" applyFont="1" applyFill="1" applyBorder="1">
      <alignment vertical="center"/>
    </xf>
    <xf numFmtId="176" fontId="35" fillId="27" borderId="69" xfId="0" applyNumberFormat="1" applyFont="1" applyFill="1" applyBorder="1">
      <alignment vertical="center"/>
    </xf>
    <xf numFmtId="176" fontId="35" fillId="27" borderId="28" xfId="0" applyNumberFormat="1" applyFont="1" applyFill="1" applyBorder="1">
      <alignment vertical="center"/>
    </xf>
    <xf numFmtId="176" fontId="35" fillId="2" borderId="90" xfId="0" applyNumberFormat="1" applyFont="1" applyFill="1" applyBorder="1" applyAlignment="1">
      <alignment vertical="center" shrinkToFit="1"/>
    </xf>
    <xf numFmtId="176" fontId="35" fillId="2" borderId="91" xfId="0" applyNumberFormat="1" applyFont="1" applyFill="1" applyBorder="1" applyAlignment="1">
      <alignment vertical="center" shrinkToFit="1"/>
    </xf>
    <xf numFmtId="176" fontId="35" fillId="2" borderId="99" xfId="0" applyNumberFormat="1" applyFont="1" applyFill="1" applyBorder="1" applyAlignment="1">
      <alignment vertical="center" shrinkToFit="1"/>
    </xf>
    <xf numFmtId="176" fontId="35" fillId="2" borderId="92" xfId="0" applyNumberFormat="1" applyFont="1" applyFill="1" applyBorder="1" applyAlignment="1">
      <alignment vertical="center" shrinkToFit="1"/>
    </xf>
    <xf numFmtId="176" fontId="35" fillId="2" borderId="90" xfId="0" applyNumberFormat="1" applyFont="1" applyFill="1" applyBorder="1">
      <alignment vertical="center"/>
    </xf>
    <xf numFmtId="176" fontId="35" fillId="2" borderId="91" xfId="0" applyNumberFormat="1" applyFont="1" applyFill="1" applyBorder="1">
      <alignment vertical="center"/>
    </xf>
    <xf numFmtId="176" fontId="35" fillId="2" borderId="99" xfId="0" applyNumberFormat="1" applyFont="1" applyFill="1" applyBorder="1">
      <alignment vertical="center"/>
    </xf>
    <xf numFmtId="176" fontId="35" fillId="2" borderId="92" xfId="0" applyNumberFormat="1" applyFont="1" applyFill="1" applyBorder="1">
      <alignment vertical="center"/>
    </xf>
    <xf numFmtId="176" fontId="35" fillId="27" borderId="73" xfId="0" applyNumberFormat="1" applyFont="1" applyFill="1" applyBorder="1">
      <alignment vertical="center"/>
    </xf>
    <xf numFmtId="180" fontId="35" fillId="28" borderId="71" xfId="86" applyNumberFormat="1" applyFont="1" applyFill="1" applyBorder="1" applyAlignment="1">
      <alignment horizontal="right" vertical="center"/>
    </xf>
    <xf numFmtId="180" fontId="35" fillId="28" borderId="70" xfId="86" applyNumberFormat="1" applyFont="1" applyFill="1" applyBorder="1" applyAlignment="1">
      <alignment horizontal="right" vertical="center"/>
    </xf>
    <xf numFmtId="177" fontId="35" fillId="27" borderId="95" xfId="0" applyNumberFormat="1" applyFont="1" applyFill="1" applyBorder="1">
      <alignment vertical="center"/>
    </xf>
    <xf numFmtId="177" fontId="35" fillId="27" borderId="69" xfId="0" applyNumberFormat="1" applyFont="1" applyFill="1" applyBorder="1">
      <alignment vertical="center"/>
    </xf>
    <xf numFmtId="177" fontId="35" fillId="27" borderId="28" xfId="0" applyNumberFormat="1" applyFont="1" applyFill="1" applyBorder="1">
      <alignment vertical="center"/>
    </xf>
    <xf numFmtId="177" fontId="35" fillId="27" borderId="73" xfId="0" applyNumberFormat="1" applyFont="1" applyFill="1" applyBorder="1">
      <alignment vertical="center"/>
    </xf>
    <xf numFmtId="176" fontId="35" fillId="27" borderId="73" xfId="0" applyNumberFormat="1" applyFont="1" applyFill="1" applyBorder="1" applyAlignment="1">
      <alignment vertical="center" shrinkToFit="1"/>
    </xf>
    <xf numFmtId="176" fontId="35" fillId="27" borderId="69" xfId="0" applyNumberFormat="1" applyFont="1" applyFill="1" applyBorder="1" applyAlignment="1">
      <alignment vertical="center" shrinkToFit="1"/>
    </xf>
    <xf numFmtId="180" fontId="35" fillId="28" borderId="71" xfId="86" applyNumberFormat="1" applyFont="1" applyFill="1" applyBorder="1" applyAlignment="1">
      <alignment horizontal="right" vertical="center" shrinkToFit="1"/>
    </xf>
    <xf numFmtId="180" fontId="35" fillId="28" borderId="70" xfId="86" applyNumberFormat="1" applyFont="1" applyFill="1" applyBorder="1" applyAlignment="1">
      <alignment horizontal="right" vertical="center" shrinkToFit="1"/>
    </xf>
    <xf numFmtId="180" fontId="35" fillId="29" borderId="71" xfId="86" applyNumberFormat="1" applyFont="1" applyFill="1" applyBorder="1" applyAlignment="1">
      <alignment horizontal="right" vertical="center"/>
    </xf>
    <xf numFmtId="176" fontId="35" fillId="2" borderId="100" xfId="0" applyNumberFormat="1" applyFont="1" applyFill="1" applyBorder="1" applyAlignment="1">
      <alignment vertical="center" shrinkToFit="1"/>
    </xf>
    <xf numFmtId="176" fontId="35" fillId="2" borderId="101" xfId="0" applyNumberFormat="1" applyFont="1" applyFill="1" applyBorder="1" applyAlignment="1">
      <alignment vertical="center" shrinkToFit="1"/>
    </xf>
    <xf numFmtId="180" fontId="35" fillId="2" borderId="102" xfId="86" applyNumberFormat="1" applyFont="1" applyFill="1" applyBorder="1" applyAlignment="1">
      <alignment vertical="center" shrinkToFit="1"/>
    </xf>
    <xf numFmtId="180" fontId="35" fillId="2" borderId="103" xfId="86" applyNumberFormat="1" applyFont="1" applyFill="1" applyBorder="1" applyAlignment="1">
      <alignment vertical="center" shrinkToFit="1"/>
    </xf>
    <xf numFmtId="180" fontId="35" fillId="2" borderId="99" xfId="86" applyNumberFormat="1" applyFont="1" applyFill="1" applyBorder="1">
      <alignment vertical="center"/>
    </xf>
    <xf numFmtId="180" fontId="35" fillId="2" borderId="92" xfId="86" applyNumberFormat="1" applyFont="1" applyFill="1" applyBorder="1">
      <alignment vertical="center"/>
    </xf>
    <xf numFmtId="0" fontId="35" fillId="2" borderId="166" xfId="3" applyFont="1" applyFill="1" applyBorder="1" applyAlignment="1" applyProtection="1">
      <alignment vertical="center"/>
    </xf>
    <xf numFmtId="176" fontId="35" fillId="27" borderId="158" xfId="0" applyNumberFormat="1" applyFont="1" applyFill="1" applyBorder="1">
      <alignment vertical="center"/>
    </xf>
    <xf numFmtId="176" fontId="35" fillId="27" borderId="165" xfId="0" applyNumberFormat="1" applyFont="1" applyFill="1" applyBorder="1">
      <alignment vertical="center"/>
    </xf>
    <xf numFmtId="180" fontId="35" fillId="28" borderId="164" xfId="86" applyNumberFormat="1" applyFont="1" applyFill="1" applyBorder="1" applyAlignment="1">
      <alignment horizontal="right" vertical="center"/>
    </xf>
    <xf numFmtId="180" fontId="35" fillId="28" borderId="163" xfId="86" applyNumberFormat="1" applyFont="1" applyFill="1" applyBorder="1" applyAlignment="1">
      <alignment horizontal="right" vertical="center"/>
    </xf>
    <xf numFmtId="177" fontId="35" fillId="27" borderId="158" xfId="0" applyNumberFormat="1" applyFont="1" applyFill="1" applyBorder="1">
      <alignment vertical="center"/>
    </xf>
    <xf numFmtId="177" fontId="35" fillId="27" borderId="165" xfId="0" applyNumberFormat="1" applyFont="1" applyFill="1" applyBorder="1">
      <alignment vertical="center"/>
    </xf>
    <xf numFmtId="176" fontId="35" fillId="27" borderId="77" xfId="0" applyNumberFormat="1" applyFont="1" applyFill="1" applyBorder="1">
      <alignment vertical="center"/>
    </xf>
    <xf numFmtId="176" fontId="35" fillId="27" borderId="75" xfId="0" applyNumberFormat="1" applyFont="1" applyFill="1" applyBorder="1">
      <alignment vertical="center"/>
    </xf>
    <xf numFmtId="180" fontId="35" fillId="28" borderId="74" xfId="86" applyNumberFormat="1" applyFont="1" applyFill="1" applyBorder="1" applyAlignment="1">
      <alignment horizontal="right" vertical="center"/>
    </xf>
    <xf numFmtId="180" fontId="35" fillId="28" borderId="78" xfId="86" applyNumberFormat="1" applyFont="1" applyFill="1" applyBorder="1" applyAlignment="1">
      <alignment horizontal="right" vertical="center"/>
    </xf>
    <xf numFmtId="0" fontId="6" fillId="2" borderId="6" xfId="3" applyFont="1" applyFill="1" applyBorder="1" applyAlignment="1" applyProtection="1">
      <alignment vertical="center"/>
    </xf>
    <xf numFmtId="176" fontId="35" fillId="0" borderId="37" xfId="0" applyNumberFormat="1" applyFont="1" applyFill="1" applyBorder="1">
      <alignment vertical="center"/>
    </xf>
    <xf numFmtId="176" fontId="35" fillId="0" borderId="39" xfId="0" applyNumberFormat="1" applyFont="1" applyFill="1" applyBorder="1">
      <alignment vertical="center"/>
    </xf>
    <xf numFmtId="176" fontId="35" fillId="0" borderId="7" xfId="0" applyNumberFormat="1" applyFont="1" applyFill="1" applyBorder="1">
      <alignment vertical="center"/>
    </xf>
    <xf numFmtId="176" fontId="35" fillId="0" borderId="41" xfId="0" applyNumberFormat="1" applyFont="1" applyFill="1" applyBorder="1">
      <alignment vertical="center"/>
    </xf>
    <xf numFmtId="180" fontId="35" fillId="0" borderId="40" xfId="86" applyNumberFormat="1" applyFont="1" applyFill="1" applyBorder="1">
      <alignment vertical="center"/>
    </xf>
    <xf numFmtId="180" fontId="35" fillId="0" borderId="42" xfId="86" applyNumberFormat="1" applyFont="1" applyFill="1" applyBorder="1">
      <alignment vertical="center"/>
    </xf>
    <xf numFmtId="0" fontId="35" fillId="2" borderId="0" xfId="3" applyFont="1" applyFill="1" applyBorder="1" applyAlignment="1" applyProtection="1">
      <alignment horizontal="left" vertical="top"/>
    </xf>
    <xf numFmtId="176" fontId="35" fillId="27" borderId="93" xfId="0" applyNumberFormat="1" applyFont="1" applyFill="1" applyBorder="1">
      <alignment vertical="center"/>
    </xf>
    <xf numFmtId="176" fontId="35" fillId="27" borderId="14" xfId="0" applyNumberFormat="1" applyFont="1" applyFill="1" applyBorder="1">
      <alignment vertical="center"/>
    </xf>
    <xf numFmtId="0" fontId="35" fillId="2" borderId="44" xfId="3" applyFont="1" applyFill="1" applyBorder="1" applyAlignment="1" applyProtection="1">
      <alignment horizontal="left" vertical="top"/>
    </xf>
    <xf numFmtId="0" fontId="35" fillId="2" borderId="45" xfId="3" applyFont="1" applyFill="1" applyBorder="1" applyAlignment="1" applyProtection="1">
      <alignment vertical="center"/>
    </xf>
    <xf numFmtId="176" fontId="35" fillId="27" borderId="37" xfId="0" applyNumberFormat="1" applyFont="1" applyFill="1" applyBorder="1">
      <alignment vertical="center"/>
    </xf>
    <xf numFmtId="176" fontId="35" fillId="27" borderId="39" xfId="0" applyNumberFormat="1" applyFont="1" applyFill="1" applyBorder="1">
      <alignment vertical="center"/>
    </xf>
    <xf numFmtId="176" fontId="35" fillId="27" borderId="7" xfId="0" applyNumberFormat="1" applyFont="1" applyFill="1" applyBorder="1">
      <alignment vertical="center"/>
    </xf>
    <xf numFmtId="176" fontId="35" fillId="27" borderId="41" xfId="0" applyNumberFormat="1" applyFont="1" applyFill="1" applyBorder="1" applyAlignment="1">
      <alignment vertical="center" shrinkToFit="1"/>
    </xf>
    <xf numFmtId="176" fontId="35" fillId="27" borderId="39" xfId="0" applyNumberFormat="1" applyFont="1" applyFill="1" applyBorder="1" applyAlignment="1">
      <alignment vertical="center" shrinkToFit="1"/>
    </xf>
    <xf numFmtId="180" fontId="35" fillId="28" borderId="40" xfId="86" applyNumberFormat="1" applyFont="1" applyFill="1" applyBorder="1" applyAlignment="1">
      <alignment horizontal="right" vertical="center" shrinkToFit="1"/>
    </xf>
    <xf numFmtId="180" fontId="35" fillId="28" borderId="42" xfId="86" applyNumberFormat="1" applyFont="1" applyFill="1" applyBorder="1" applyAlignment="1">
      <alignment horizontal="right" vertical="center" shrinkToFit="1"/>
    </xf>
    <xf numFmtId="3" fontId="6" fillId="2" borderId="47" xfId="3" applyNumberFormat="1" applyFont="1" applyFill="1" applyBorder="1" applyAlignment="1" applyProtection="1">
      <alignment horizontal="left" vertical="top"/>
    </xf>
    <xf numFmtId="0" fontId="35" fillId="2" borderId="65" xfId="3" applyFont="1" applyFill="1" applyBorder="1" applyAlignment="1" applyProtection="1">
      <alignment vertical="center"/>
    </xf>
    <xf numFmtId="176" fontId="35" fillId="27" borderId="96" xfId="0" applyNumberFormat="1" applyFont="1" applyFill="1" applyBorder="1">
      <alignment vertical="center"/>
    </xf>
    <xf numFmtId="176" fontId="35" fillId="27" borderId="66" xfId="0" applyNumberFormat="1" applyFont="1" applyFill="1" applyBorder="1">
      <alignment vertical="center"/>
    </xf>
    <xf numFmtId="176" fontId="35" fillId="27" borderId="19" xfId="0" applyNumberFormat="1" applyFont="1" applyFill="1" applyBorder="1">
      <alignment vertical="center"/>
    </xf>
    <xf numFmtId="176" fontId="35" fillId="27" borderId="67" xfId="0" applyNumberFormat="1" applyFont="1" applyFill="1" applyBorder="1">
      <alignment vertical="center"/>
    </xf>
    <xf numFmtId="180" fontId="35" fillId="28" borderId="65" xfId="86" applyNumberFormat="1" applyFont="1" applyFill="1" applyBorder="1" applyAlignment="1">
      <alignment horizontal="right" vertical="center"/>
    </xf>
    <xf numFmtId="180" fontId="35" fillId="28" borderId="68" xfId="86" applyNumberFormat="1" applyFont="1" applyFill="1" applyBorder="1" applyAlignment="1">
      <alignment horizontal="right" vertical="center"/>
    </xf>
    <xf numFmtId="0" fontId="35" fillId="2" borderId="31" xfId="3" applyFont="1" applyFill="1" applyBorder="1" applyProtection="1">
      <alignment vertical="center"/>
    </xf>
    <xf numFmtId="0" fontId="35" fillId="2" borderId="3" xfId="3" applyFont="1" applyFill="1" applyBorder="1" applyAlignment="1" applyProtection="1">
      <alignment vertical="center"/>
    </xf>
    <xf numFmtId="176" fontId="35" fillId="28" borderId="46" xfId="0" applyNumberFormat="1" applyFont="1" applyFill="1" applyBorder="1" applyAlignment="1">
      <alignment vertical="center" shrinkToFit="1"/>
    </xf>
    <xf numFmtId="176" fontId="35" fillId="28" borderId="30" xfId="0" applyNumberFormat="1" applyFont="1" applyFill="1" applyBorder="1" applyAlignment="1">
      <alignment vertical="center" shrinkToFit="1"/>
    </xf>
    <xf numFmtId="176" fontId="35" fillId="28" borderId="55" xfId="0" applyNumberFormat="1" applyFont="1" applyFill="1" applyBorder="1" applyAlignment="1">
      <alignment vertical="center" shrinkToFit="1"/>
    </xf>
    <xf numFmtId="176" fontId="35" fillId="28" borderId="17" xfId="0" applyNumberFormat="1" applyFont="1" applyFill="1" applyBorder="1" applyAlignment="1">
      <alignment vertical="center" shrinkToFit="1"/>
    </xf>
    <xf numFmtId="180" fontId="35" fillId="28" borderId="49" xfId="86" applyNumberFormat="1" applyFont="1" applyFill="1" applyBorder="1" applyAlignment="1">
      <alignment horizontal="right" vertical="center" shrinkToFit="1"/>
    </xf>
    <xf numFmtId="180" fontId="35" fillId="28" borderId="50" xfId="86" applyNumberFormat="1" applyFont="1" applyFill="1" applyBorder="1" applyAlignment="1">
      <alignment horizontal="right" vertical="center" shrinkToFit="1"/>
    </xf>
    <xf numFmtId="0" fontId="6" fillId="2" borderId="0" xfId="3" applyFont="1" applyFill="1" applyBorder="1" applyAlignment="1" applyProtection="1">
      <alignment horizontal="left" vertical="top"/>
    </xf>
    <xf numFmtId="0" fontId="35" fillId="2" borderId="0" xfId="3" applyFont="1" applyFill="1" applyBorder="1" applyAlignment="1" applyProtection="1">
      <alignment vertical="center"/>
    </xf>
    <xf numFmtId="176" fontId="35" fillId="2" borderId="0" xfId="0" applyNumberFormat="1" applyFont="1" applyFill="1" applyBorder="1" applyAlignment="1">
      <alignment vertical="center" shrinkToFit="1"/>
    </xf>
    <xf numFmtId="0" fontId="35" fillId="2" borderId="51" xfId="0" applyFont="1" applyFill="1" applyBorder="1">
      <alignment vertical="center"/>
    </xf>
    <xf numFmtId="0" fontId="35" fillId="2" borderId="0" xfId="3" applyFont="1" applyFill="1" applyBorder="1" applyProtection="1">
      <alignment vertical="center"/>
    </xf>
    <xf numFmtId="0" fontId="6" fillId="2" borderId="0" xfId="3" applyFont="1" applyFill="1" applyAlignment="1" applyProtection="1">
      <alignment horizontal="left" vertical="top"/>
    </xf>
    <xf numFmtId="0" fontId="6" fillId="2" borderId="0" xfId="3" applyFont="1" applyFill="1" applyProtection="1">
      <alignment vertical="center"/>
    </xf>
    <xf numFmtId="0" fontId="35" fillId="2" borderId="36" xfId="3" applyFont="1" applyFill="1" applyBorder="1" applyAlignment="1" applyProtection="1">
      <alignment vertical="center"/>
    </xf>
    <xf numFmtId="0" fontId="6" fillId="2" borderId="51" xfId="3" applyFont="1" applyFill="1" applyBorder="1" applyAlignment="1" applyProtection="1">
      <alignment vertical="center"/>
    </xf>
    <xf numFmtId="0" fontId="35" fillId="2" borderId="37" xfId="0" applyFont="1" applyFill="1" applyBorder="1">
      <alignment vertical="center"/>
    </xf>
    <xf numFmtId="0" fontId="35" fillId="2" borderId="38" xfId="0" applyFont="1" applyFill="1" applyBorder="1">
      <alignment vertical="center"/>
    </xf>
    <xf numFmtId="176" fontId="35" fillId="27" borderId="95" xfId="0" applyNumberFormat="1" applyFont="1" applyFill="1" applyBorder="1" applyAlignment="1">
      <alignment vertical="center" shrinkToFit="1"/>
    </xf>
    <xf numFmtId="176" fontId="35" fillId="27" borderId="72" xfId="0" applyNumberFormat="1" applyFont="1" applyFill="1" applyBorder="1" applyAlignment="1">
      <alignment vertical="center" shrinkToFit="1"/>
    </xf>
    <xf numFmtId="176" fontId="35" fillId="27" borderId="71" xfId="0" applyNumberFormat="1" applyFont="1" applyFill="1" applyBorder="1" applyAlignment="1">
      <alignment vertical="center" shrinkToFit="1"/>
    </xf>
    <xf numFmtId="177" fontId="35" fillId="27" borderId="95" xfId="0" applyNumberFormat="1" applyFont="1" applyFill="1" applyBorder="1" applyAlignment="1">
      <alignment vertical="center" shrinkToFit="1"/>
    </xf>
    <xf numFmtId="177" fontId="35" fillId="27" borderId="69" xfId="0" applyNumberFormat="1" applyFont="1" applyFill="1" applyBorder="1" applyAlignment="1">
      <alignment vertical="center" shrinkToFit="1"/>
    </xf>
    <xf numFmtId="177" fontId="35" fillId="27" borderId="72" xfId="0" applyNumberFormat="1" applyFont="1" applyFill="1" applyBorder="1" applyAlignment="1">
      <alignment vertical="center" shrinkToFit="1"/>
    </xf>
    <xf numFmtId="177" fontId="35" fillId="27" borderId="73" xfId="0" applyNumberFormat="1" applyFont="1" applyFill="1" applyBorder="1" applyAlignment="1">
      <alignment vertical="center" shrinkToFit="1"/>
    </xf>
    <xf numFmtId="177" fontId="35" fillId="27" borderId="71" xfId="0" applyNumberFormat="1" applyFont="1" applyFill="1" applyBorder="1" applyAlignment="1">
      <alignment vertical="center" shrinkToFit="1"/>
    </xf>
    <xf numFmtId="176" fontId="35" fillId="27" borderId="158" xfId="0" applyNumberFormat="1" applyFont="1" applyFill="1" applyBorder="1" applyAlignment="1">
      <alignment vertical="center" shrinkToFit="1"/>
    </xf>
    <xf numFmtId="176" fontId="35" fillId="27" borderId="164" xfId="0" applyNumberFormat="1" applyFont="1" applyFill="1" applyBorder="1" applyAlignment="1">
      <alignment vertical="center" shrinkToFit="1"/>
    </xf>
    <xf numFmtId="180" fontId="35" fillId="28" borderId="164" xfId="86" applyNumberFormat="1" applyFont="1" applyFill="1" applyBorder="1" applyAlignment="1">
      <alignment horizontal="right" vertical="center" shrinkToFit="1"/>
    </xf>
    <xf numFmtId="180" fontId="35" fillId="28" borderId="163" xfId="86" applyNumberFormat="1" applyFont="1" applyFill="1" applyBorder="1" applyAlignment="1">
      <alignment horizontal="right" vertical="center" shrinkToFit="1"/>
    </xf>
    <xf numFmtId="177" fontId="35" fillId="27" borderId="158" xfId="0" applyNumberFormat="1" applyFont="1" applyFill="1" applyBorder="1" applyAlignment="1">
      <alignment vertical="center" shrinkToFit="1"/>
    </xf>
    <xf numFmtId="177" fontId="35" fillId="27" borderId="164" xfId="0" applyNumberFormat="1" applyFont="1" applyFill="1" applyBorder="1" applyAlignment="1">
      <alignment vertical="center" shrinkToFit="1"/>
    </xf>
    <xf numFmtId="176" fontId="35" fillId="27" borderId="67" xfId="0" applyNumberFormat="1" applyFont="1" applyFill="1" applyBorder="1" applyAlignment="1">
      <alignment vertical="center" shrinkToFit="1"/>
    </xf>
    <xf numFmtId="176" fontId="35" fillId="27" borderId="66" xfId="0" applyNumberFormat="1" applyFont="1" applyFill="1" applyBorder="1" applyAlignment="1">
      <alignment vertical="center" shrinkToFit="1"/>
    </xf>
    <xf numFmtId="176" fontId="35" fillId="27" borderId="65" xfId="0" applyNumberFormat="1" applyFont="1" applyFill="1" applyBorder="1" applyAlignment="1">
      <alignment vertical="center" shrinkToFit="1"/>
    </xf>
    <xf numFmtId="0" fontId="6" fillId="2" borderId="52" xfId="3" applyFont="1" applyFill="1" applyBorder="1" applyAlignment="1" applyProtection="1">
      <alignment vertical="center"/>
    </xf>
    <xf numFmtId="176" fontId="35" fillId="2" borderId="37" xfId="0" applyNumberFormat="1" applyFont="1" applyFill="1" applyBorder="1" applyAlignment="1">
      <alignment vertical="center" shrinkToFit="1"/>
    </xf>
    <xf numFmtId="176" fontId="35" fillId="2" borderId="39" xfId="0" applyNumberFormat="1" applyFont="1" applyFill="1" applyBorder="1" applyAlignment="1">
      <alignment vertical="center" shrinkToFit="1"/>
    </xf>
    <xf numFmtId="176" fontId="35" fillId="2" borderId="7" xfId="0" applyNumberFormat="1" applyFont="1" applyFill="1" applyBorder="1" applyAlignment="1">
      <alignment vertical="center" shrinkToFit="1"/>
    </xf>
    <xf numFmtId="176" fontId="35" fillId="2" borderId="38" xfId="0" applyNumberFormat="1" applyFont="1" applyFill="1" applyBorder="1" applyAlignment="1">
      <alignment vertical="center" shrinkToFit="1"/>
    </xf>
    <xf numFmtId="176" fontId="35" fillId="2" borderId="40" xfId="0" applyNumberFormat="1" applyFont="1" applyFill="1" applyBorder="1" applyAlignment="1">
      <alignment vertical="center" shrinkToFit="1"/>
    </xf>
    <xf numFmtId="180" fontId="35" fillId="2" borderId="40" xfId="86" applyNumberFormat="1" applyFont="1" applyFill="1" applyBorder="1">
      <alignment vertical="center"/>
    </xf>
    <xf numFmtId="176" fontId="35" fillId="2" borderId="41" xfId="0" applyNumberFormat="1" applyFont="1" applyFill="1" applyBorder="1" applyAlignment="1">
      <alignment vertical="center" shrinkToFit="1"/>
    </xf>
    <xf numFmtId="180" fontId="35" fillId="2" borderId="42" xfId="86" applyNumberFormat="1" applyFont="1" applyFill="1" applyBorder="1">
      <alignment vertical="center"/>
    </xf>
    <xf numFmtId="176" fontId="35" fillId="27" borderId="28" xfId="0" applyNumberFormat="1" applyFont="1" applyFill="1" applyBorder="1" applyAlignment="1">
      <alignment vertical="center" shrinkToFit="1"/>
    </xf>
    <xf numFmtId="177" fontId="35" fillId="27" borderId="28" xfId="0" applyNumberFormat="1" applyFont="1" applyFill="1" applyBorder="1" applyAlignment="1">
      <alignment vertical="center" shrinkToFit="1"/>
    </xf>
    <xf numFmtId="0" fontId="6" fillId="2" borderId="29" xfId="3" applyFont="1" applyFill="1" applyBorder="1" applyAlignment="1" applyProtection="1">
      <alignment horizontal="left" vertical="top"/>
    </xf>
    <xf numFmtId="176" fontId="35" fillId="27" borderId="79" xfId="0" applyNumberFormat="1" applyFont="1" applyFill="1" applyBorder="1" applyAlignment="1">
      <alignment vertical="center" shrinkToFit="1"/>
    </xf>
    <xf numFmtId="176" fontId="35" fillId="27" borderId="75" xfId="0" applyNumberFormat="1" applyFont="1" applyFill="1" applyBorder="1" applyAlignment="1">
      <alignment vertical="center" shrinkToFit="1"/>
    </xf>
    <xf numFmtId="176" fontId="35" fillId="27" borderId="74" xfId="0" applyNumberFormat="1" applyFont="1" applyFill="1" applyBorder="1" applyAlignment="1">
      <alignment vertical="center" shrinkToFit="1"/>
    </xf>
    <xf numFmtId="176" fontId="35" fillId="27" borderId="77" xfId="0" applyNumberFormat="1" applyFont="1" applyFill="1" applyBorder="1" applyAlignment="1">
      <alignment vertical="center" shrinkToFit="1"/>
    </xf>
    <xf numFmtId="0" fontId="6" fillId="2" borderId="36" xfId="2" applyFont="1" applyFill="1" applyBorder="1" applyAlignment="1" applyProtection="1">
      <alignment vertical="center"/>
    </xf>
    <xf numFmtId="0" fontId="6" fillId="2" borderId="40" xfId="3" applyFont="1" applyFill="1" applyBorder="1" applyAlignment="1" applyProtection="1">
      <alignment horizontal="left" vertical="top"/>
    </xf>
    <xf numFmtId="176" fontId="35" fillId="0" borderId="90" xfId="0" applyNumberFormat="1" applyFont="1" applyFill="1" applyBorder="1" applyAlignment="1">
      <alignment vertical="center" shrinkToFit="1"/>
    </xf>
    <xf numFmtId="180" fontId="35" fillId="0" borderId="92" xfId="86" applyNumberFormat="1" applyFont="1" applyFill="1" applyBorder="1" applyAlignment="1">
      <alignment horizontal="right" vertical="center" shrinkToFit="1"/>
    </xf>
    <xf numFmtId="176" fontId="35" fillId="27" borderId="93" xfId="0" applyNumberFormat="1" applyFont="1" applyFill="1" applyBorder="1" applyAlignment="1">
      <alignment vertical="center" shrinkToFit="1"/>
    </xf>
    <xf numFmtId="176" fontId="35" fillId="27" borderId="14" xfId="0" applyNumberFormat="1" applyFont="1" applyFill="1" applyBorder="1" applyAlignment="1">
      <alignment vertical="center" shrinkToFit="1"/>
    </xf>
    <xf numFmtId="176" fontId="35" fillId="27" borderId="76" xfId="0" applyNumberFormat="1" applyFont="1" applyFill="1" applyBorder="1" applyAlignment="1">
      <alignment vertical="center" shrinkToFit="1"/>
    </xf>
    <xf numFmtId="176" fontId="35" fillId="0" borderId="155" xfId="0" applyNumberFormat="1" applyFont="1" applyFill="1" applyBorder="1" applyAlignment="1">
      <alignment vertical="center" shrinkToFit="1"/>
    </xf>
    <xf numFmtId="180" fontId="35" fillId="0" borderId="156" xfId="86" applyNumberFormat="1" applyFont="1" applyFill="1" applyBorder="1" applyAlignment="1">
      <alignment horizontal="right" vertical="center"/>
    </xf>
    <xf numFmtId="0" fontId="35" fillId="2" borderId="23" xfId="3" applyFont="1" applyFill="1" applyBorder="1" applyAlignment="1" applyProtection="1">
      <alignment horizontal="left" vertical="top" wrapText="1"/>
    </xf>
    <xf numFmtId="0" fontId="35" fillId="2" borderId="22" xfId="3" applyFont="1" applyFill="1" applyBorder="1" applyAlignment="1" applyProtection="1">
      <alignment vertical="center"/>
    </xf>
    <xf numFmtId="176" fontId="35" fillId="27" borderId="37" xfId="0" applyNumberFormat="1" applyFont="1" applyFill="1" applyBorder="1" applyAlignment="1">
      <alignment vertical="center" shrinkToFit="1"/>
    </xf>
    <xf numFmtId="176" fontId="35" fillId="27" borderId="7" xfId="0" applyNumberFormat="1" applyFont="1" applyFill="1" applyBorder="1" applyAlignment="1">
      <alignment vertical="center" shrinkToFit="1"/>
    </xf>
    <xf numFmtId="176" fontId="35" fillId="27" borderId="38" xfId="0" applyNumberFormat="1" applyFont="1" applyFill="1" applyBorder="1" applyAlignment="1">
      <alignment vertical="center" shrinkToFit="1"/>
    </xf>
    <xf numFmtId="176" fontId="35" fillId="27" borderId="40" xfId="0" applyNumberFormat="1" applyFont="1" applyFill="1" applyBorder="1" applyAlignment="1">
      <alignment vertical="center" shrinkToFit="1"/>
    </xf>
    <xf numFmtId="176" fontId="35" fillId="27" borderId="96" xfId="0" applyNumberFormat="1" applyFont="1" applyFill="1" applyBorder="1" applyAlignment="1">
      <alignment vertical="center" shrinkToFit="1"/>
    </xf>
    <xf numFmtId="176" fontId="35" fillId="27" borderId="19" xfId="0" applyNumberFormat="1" applyFont="1" applyFill="1" applyBorder="1" applyAlignment="1">
      <alignment vertical="center" shrinkToFit="1"/>
    </xf>
    <xf numFmtId="0" fontId="37" fillId="2" borderId="0" xfId="0" applyFont="1" applyFill="1" applyBorder="1">
      <alignment vertical="center"/>
    </xf>
    <xf numFmtId="0" fontId="35" fillId="2" borderId="0" xfId="0" applyFont="1" applyFill="1" applyBorder="1">
      <alignment vertical="center"/>
    </xf>
    <xf numFmtId="177" fontId="35" fillId="2" borderId="0" xfId="0" applyNumberFormat="1" applyFont="1" applyFill="1">
      <alignment vertical="center"/>
    </xf>
    <xf numFmtId="0" fontId="6" fillId="2" borderId="33" xfId="2" applyFont="1" applyFill="1" applyBorder="1" applyAlignment="1" applyProtection="1">
      <alignment horizontal="center" vertical="center"/>
    </xf>
    <xf numFmtId="0" fontId="35" fillId="2" borderId="43" xfId="3" applyFont="1" applyFill="1" applyBorder="1" applyProtection="1">
      <alignment vertical="center"/>
    </xf>
    <xf numFmtId="0" fontId="6" fillId="2" borderId="51" xfId="3" applyFont="1" applyFill="1" applyBorder="1" applyAlignment="1" applyProtection="1">
      <alignment horizontal="left" vertical="top"/>
    </xf>
    <xf numFmtId="0" fontId="35" fillId="2" borderId="125" xfId="3" applyFont="1" applyFill="1" applyBorder="1" applyAlignment="1" applyProtection="1">
      <alignment vertical="center"/>
    </xf>
    <xf numFmtId="176" fontId="35" fillId="2" borderId="12" xfId="0" applyNumberFormat="1" applyFont="1" applyFill="1" applyBorder="1" applyAlignment="1">
      <alignment vertical="center" shrinkToFit="1"/>
    </xf>
    <xf numFmtId="176" fontId="35" fillId="2" borderId="29" xfId="0" applyNumberFormat="1" applyFont="1" applyFill="1" applyBorder="1" applyAlignment="1">
      <alignment vertical="center" shrinkToFit="1"/>
    </xf>
    <xf numFmtId="176" fontId="35" fillId="2" borderId="22" xfId="0" applyNumberFormat="1" applyFont="1" applyFill="1" applyBorder="1" applyAlignment="1">
      <alignment vertical="center" shrinkToFit="1"/>
    </xf>
    <xf numFmtId="176" fontId="35" fillId="2" borderId="36" xfId="0" applyNumberFormat="1" applyFont="1" applyFill="1" applyBorder="1" applyAlignment="1">
      <alignment vertical="center" shrinkToFit="1"/>
    </xf>
    <xf numFmtId="176" fontId="35" fillId="2" borderId="153" xfId="0" applyNumberFormat="1" applyFont="1" applyFill="1" applyBorder="1" applyAlignment="1">
      <alignment vertical="center" shrinkToFit="1"/>
    </xf>
    <xf numFmtId="0" fontId="35" fillId="2" borderId="12" xfId="3" applyFont="1" applyFill="1" applyBorder="1" applyProtection="1">
      <alignment vertical="center"/>
    </xf>
    <xf numFmtId="0" fontId="6" fillId="2" borderId="71" xfId="3" applyFont="1" applyFill="1" applyBorder="1" applyAlignment="1" applyProtection="1">
      <alignment horizontal="left" vertical="top"/>
    </xf>
    <xf numFmtId="0" fontId="35" fillId="2" borderId="28" xfId="3" applyFont="1" applyFill="1" applyBorder="1" applyAlignment="1" applyProtection="1">
      <alignment vertical="center"/>
    </xf>
    <xf numFmtId="176" fontId="35" fillId="2" borderId="158" xfId="0" applyNumberFormat="1" applyFont="1" applyFill="1" applyBorder="1" applyAlignment="1">
      <alignment vertical="center" shrinkToFit="1"/>
    </xf>
    <xf numFmtId="176" fontId="35" fillId="2" borderId="69" xfId="0" applyNumberFormat="1" applyFont="1" applyFill="1" applyBorder="1" applyAlignment="1">
      <alignment vertical="center" shrinkToFit="1"/>
    </xf>
    <xf numFmtId="176" fontId="35" fillId="2" borderId="72" xfId="0" applyNumberFormat="1" applyFont="1" applyFill="1" applyBorder="1" applyAlignment="1">
      <alignment vertical="center" shrinkToFit="1"/>
    </xf>
    <xf numFmtId="176" fontId="35" fillId="2" borderId="106" xfId="0" applyNumberFormat="1" applyFont="1" applyFill="1" applyBorder="1" applyAlignment="1">
      <alignment vertical="center" shrinkToFit="1"/>
    </xf>
    <xf numFmtId="176" fontId="35" fillId="2" borderId="73" xfId="0" applyNumberFormat="1" applyFont="1" applyFill="1" applyBorder="1" applyAlignment="1">
      <alignment vertical="center" shrinkToFit="1"/>
    </xf>
    <xf numFmtId="176" fontId="35" fillId="2" borderId="164" xfId="0" applyNumberFormat="1" applyFont="1" applyFill="1" applyBorder="1" applyAlignment="1">
      <alignment vertical="center" shrinkToFit="1"/>
    </xf>
    <xf numFmtId="0" fontId="35" fillId="2" borderId="17" xfId="3" applyFont="1" applyFill="1" applyBorder="1" applyProtection="1">
      <alignment vertical="center"/>
    </xf>
    <xf numFmtId="0" fontId="6" fillId="2" borderId="65" xfId="3" applyFont="1" applyFill="1" applyBorder="1" applyAlignment="1" applyProtection="1">
      <alignment horizontal="left" vertical="top"/>
    </xf>
    <xf numFmtId="0" fontId="35" fillId="2" borderId="19" xfId="3" applyFont="1" applyFill="1" applyBorder="1" applyAlignment="1" applyProtection="1">
      <alignment vertical="center"/>
    </xf>
    <xf numFmtId="176" fontId="35" fillId="2" borderId="67" xfId="0" applyNumberFormat="1" applyFont="1" applyFill="1" applyBorder="1" applyAlignment="1">
      <alignment vertical="center" shrinkToFit="1"/>
    </xf>
    <xf numFmtId="176" fontId="35" fillId="2" borderId="66" xfId="0" applyNumberFormat="1" applyFont="1" applyFill="1" applyBorder="1" applyAlignment="1">
      <alignment vertical="center" shrinkToFit="1"/>
    </xf>
    <xf numFmtId="176" fontId="35" fillId="2" borderId="65" xfId="0" applyNumberFormat="1" applyFont="1" applyFill="1" applyBorder="1" applyAlignment="1">
      <alignment vertical="center" shrinkToFit="1"/>
    </xf>
    <xf numFmtId="176" fontId="35" fillId="2" borderId="107" xfId="0" applyNumberFormat="1" applyFont="1" applyFill="1" applyBorder="1" applyAlignment="1">
      <alignment vertical="center" shrinkToFit="1"/>
    </xf>
    <xf numFmtId="0" fontId="35" fillId="2" borderId="28" xfId="0" applyFont="1" applyFill="1" applyBorder="1">
      <alignment vertical="center"/>
    </xf>
    <xf numFmtId="0" fontId="35" fillId="2" borderId="19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14" fontId="28" fillId="0" borderId="0" xfId="0" applyNumberFormat="1" applyFont="1" applyAlignment="1">
      <alignment horizontal="left" vertical="center"/>
    </xf>
    <xf numFmtId="0" fontId="28" fillId="2" borderId="0" xfId="0" applyFont="1" applyFill="1" applyAlignment="1">
      <alignment horizontal="left" vertical="top"/>
    </xf>
    <xf numFmtId="0" fontId="6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left" vertical="top"/>
    </xf>
    <xf numFmtId="0" fontId="28" fillId="2" borderId="14" xfId="0" applyFont="1" applyFill="1" applyBorder="1">
      <alignment vertical="center"/>
    </xf>
    <xf numFmtId="0" fontId="28" fillId="2" borderId="51" xfId="0" applyFont="1" applyFill="1" applyBorder="1">
      <alignment vertical="center"/>
    </xf>
    <xf numFmtId="0" fontId="28" fillId="2" borderId="51" xfId="0" applyFont="1" applyFill="1" applyBorder="1" applyAlignment="1">
      <alignment horizontal="left" vertical="top"/>
    </xf>
    <xf numFmtId="0" fontId="36" fillId="2" borderId="51" xfId="0" applyFont="1" applyFill="1" applyBorder="1">
      <alignment vertical="center"/>
    </xf>
    <xf numFmtId="0" fontId="28" fillId="2" borderId="0" xfId="0" applyFont="1" applyFill="1" applyBorder="1">
      <alignment vertical="center"/>
    </xf>
    <xf numFmtId="0" fontId="28" fillId="2" borderId="0" xfId="0" applyFont="1" applyFill="1" applyBorder="1" applyAlignment="1">
      <alignment horizontal="left" vertical="top"/>
    </xf>
    <xf numFmtId="176" fontId="28" fillId="2" borderId="0" xfId="0" applyNumberFormat="1" applyFont="1" applyFill="1" applyBorder="1" applyAlignment="1">
      <alignment vertical="center" shrinkToFit="1"/>
    </xf>
    <xf numFmtId="0" fontId="28" fillId="2" borderId="5" xfId="0" applyFont="1" applyFill="1" applyBorder="1">
      <alignment vertical="center"/>
    </xf>
    <xf numFmtId="0" fontId="28" fillId="2" borderId="27" xfId="0" applyFont="1" applyFill="1" applyBorder="1" applyAlignment="1">
      <alignment horizontal="left" vertical="top"/>
    </xf>
    <xf numFmtId="0" fontId="28" fillId="2" borderId="12" xfId="0" applyFont="1" applyFill="1" applyBorder="1">
      <alignment vertical="center"/>
    </xf>
    <xf numFmtId="0" fontId="28" fillId="2" borderId="29" xfId="0" applyFont="1" applyFill="1" applyBorder="1" applyAlignment="1">
      <alignment horizontal="left" vertical="top"/>
    </xf>
    <xf numFmtId="0" fontId="28" fillId="2" borderId="17" xfId="0" applyFont="1" applyFill="1" applyBorder="1">
      <alignment vertical="center"/>
    </xf>
    <xf numFmtId="0" fontId="28" fillId="2" borderId="30" xfId="0" applyFont="1" applyFill="1" applyBorder="1" applyAlignment="1">
      <alignment horizontal="left" vertical="top"/>
    </xf>
    <xf numFmtId="0" fontId="6" fillId="2" borderId="4" xfId="2" applyFont="1" applyFill="1" applyBorder="1" applyAlignment="1" applyProtection="1">
      <alignment horizontal="center" vertical="center"/>
    </xf>
    <xf numFmtId="0" fontId="28" fillId="2" borderId="43" xfId="3" applyFont="1" applyFill="1" applyBorder="1" applyAlignment="1" applyProtection="1">
      <alignment vertical="center"/>
    </xf>
    <xf numFmtId="0" fontId="28" fillId="2" borderId="51" xfId="3" applyFont="1" applyFill="1" applyBorder="1" applyAlignment="1" applyProtection="1">
      <alignment vertical="center"/>
    </xf>
    <xf numFmtId="0" fontId="28" fillId="2" borderId="96" xfId="3" applyFont="1" applyFill="1" applyBorder="1" applyAlignment="1" applyProtection="1">
      <alignment vertical="center"/>
    </xf>
    <xf numFmtId="0" fontId="6" fillId="2" borderId="94" xfId="3" applyFont="1" applyFill="1" applyBorder="1" applyAlignment="1" applyProtection="1">
      <alignment horizontal="left" vertical="top"/>
    </xf>
    <xf numFmtId="0" fontId="28" fillId="2" borderId="94" xfId="3" applyFont="1" applyFill="1" applyBorder="1" applyAlignment="1" applyProtection="1">
      <alignment vertical="center"/>
    </xf>
    <xf numFmtId="0" fontId="28" fillId="2" borderId="31" xfId="3" applyFont="1" applyFill="1" applyBorder="1" applyProtection="1">
      <alignment vertical="center"/>
    </xf>
    <xf numFmtId="0" fontId="28" fillId="2" borderId="32" xfId="3" applyFont="1" applyFill="1" applyBorder="1" applyAlignment="1" applyProtection="1">
      <alignment vertical="center"/>
    </xf>
    <xf numFmtId="0" fontId="28" fillId="2" borderId="0" xfId="3" applyFont="1" applyFill="1" applyBorder="1" applyAlignment="1" applyProtection="1">
      <alignment vertical="center"/>
    </xf>
    <xf numFmtId="0" fontId="28" fillId="2" borderId="0" xfId="3" applyFont="1" applyFill="1" applyBorder="1" applyProtection="1">
      <alignment vertical="center"/>
    </xf>
    <xf numFmtId="0" fontId="28" fillId="2" borderId="8" xfId="3" applyFont="1" applyFill="1" applyBorder="1" applyAlignment="1" applyProtection="1">
      <alignment vertical="center"/>
    </xf>
    <xf numFmtId="0" fontId="28" fillId="2" borderId="52" xfId="3" applyFont="1" applyFill="1" applyBorder="1" applyAlignment="1" applyProtection="1">
      <alignment vertical="center"/>
    </xf>
    <xf numFmtId="0" fontId="28" fillId="2" borderId="98" xfId="3" applyFont="1" applyFill="1" applyBorder="1" applyAlignment="1" applyProtection="1">
      <alignment vertical="center"/>
    </xf>
    <xf numFmtId="0" fontId="6" fillId="2" borderId="77" xfId="2" applyFont="1" applyFill="1" applyBorder="1" applyAlignment="1" applyProtection="1">
      <alignment vertical="center"/>
    </xf>
    <xf numFmtId="0" fontId="6" fillId="2" borderId="74" xfId="3" applyFont="1" applyFill="1" applyBorder="1" applyAlignment="1" applyProtection="1">
      <alignment horizontal="left" vertical="top"/>
    </xf>
    <xf numFmtId="0" fontId="28" fillId="2" borderId="85" xfId="3" applyFont="1" applyFill="1" applyBorder="1" applyAlignment="1" applyProtection="1">
      <alignment vertical="center"/>
    </xf>
    <xf numFmtId="0" fontId="28" fillId="2" borderId="31" xfId="0" applyFont="1" applyFill="1" applyBorder="1">
      <alignment vertical="center"/>
    </xf>
    <xf numFmtId="0" fontId="28" fillId="2" borderId="32" xfId="0" applyFont="1" applyFill="1" applyBorder="1" applyAlignment="1">
      <alignment horizontal="left" vertical="top"/>
    </xf>
    <xf numFmtId="0" fontId="28" fillId="2" borderId="32" xfId="0" applyFont="1" applyFill="1" applyBorder="1">
      <alignment vertical="center"/>
    </xf>
    <xf numFmtId="0" fontId="28" fillId="2" borderId="46" xfId="0" applyFont="1" applyFill="1" applyBorder="1">
      <alignment vertical="center"/>
    </xf>
    <xf numFmtId="0" fontId="28" fillId="2" borderId="53" xfId="0" applyFont="1" applyFill="1" applyBorder="1" applyAlignment="1">
      <alignment horizontal="left" vertical="top"/>
    </xf>
    <xf numFmtId="0" fontId="28" fillId="2" borderId="53" xfId="0" applyFont="1" applyFill="1" applyBorder="1">
      <alignment vertical="center"/>
    </xf>
    <xf numFmtId="176" fontId="28" fillId="27" borderId="17" xfId="0" applyNumberFormat="1" applyFont="1" applyFill="1" applyBorder="1" applyAlignment="1">
      <alignment vertical="center" shrinkToFit="1"/>
    </xf>
    <xf numFmtId="176" fontId="28" fillId="27" borderId="30" xfId="0" applyNumberFormat="1" applyFont="1" applyFill="1" applyBorder="1" applyAlignment="1">
      <alignment vertical="center" shrinkToFit="1"/>
    </xf>
    <xf numFmtId="176" fontId="28" fillId="27" borderId="49" xfId="0" applyNumberFormat="1" applyFont="1" applyFill="1" applyBorder="1" applyAlignment="1">
      <alignment vertical="center" shrinkToFit="1"/>
    </xf>
    <xf numFmtId="0" fontId="33" fillId="0" borderId="0" xfId="0" applyFont="1">
      <alignment vertical="center"/>
    </xf>
    <xf numFmtId="0" fontId="28" fillId="2" borderId="37" xfId="0" applyFont="1" applyFill="1" applyBorder="1">
      <alignment vertical="center"/>
    </xf>
    <xf numFmtId="0" fontId="28" fillId="2" borderId="6" xfId="0" applyFont="1" applyFill="1" applyBorder="1" applyAlignment="1">
      <alignment horizontal="left" vertical="top"/>
    </xf>
    <xf numFmtId="0" fontId="28" fillId="2" borderId="6" xfId="0" applyFont="1" applyFill="1" applyBorder="1">
      <alignment vertical="center"/>
    </xf>
    <xf numFmtId="0" fontId="28" fillId="2" borderId="96" xfId="0" applyFont="1" applyFill="1" applyBorder="1">
      <alignment vertical="center"/>
    </xf>
    <xf numFmtId="0" fontId="28" fillId="2" borderId="94" xfId="0" applyFont="1" applyFill="1" applyBorder="1" applyAlignment="1">
      <alignment horizontal="left" vertical="top"/>
    </xf>
    <xf numFmtId="0" fontId="28" fillId="2" borderId="94" xfId="0" applyFont="1" applyFill="1" applyBorder="1">
      <alignment vertical="center"/>
    </xf>
    <xf numFmtId="176" fontId="35" fillId="2" borderId="0" xfId="0" applyNumberFormat="1" applyFont="1" applyFill="1">
      <alignment vertical="center"/>
    </xf>
    <xf numFmtId="0" fontId="35" fillId="2" borderId="31" xfId="0" applyFont="1" applyFill="1" applyBorder="1">
      <alignment vertical="center"/>
    </xf>
    <xf numFmtId="0" fontId="35" fillId="2" borderId="32" xfId="0" applyFont="1" applyFill="1" applyBorder="1" applyAlignment="1">
      <alignment horizontal="left" vertical="top"/>
    </xf>
    <xf numFmtId="0" fontId="35" fillId="2" borderId="32" xfId="0" applyFont="1" applyFill="1" applyBorder="1">
      <alignment vertical="center"/>
    </xf>
    <xf numFmtId="0" fontId="35" fillId="2" borderId="6" xfId="0" applyFont="1" applyFill="1" applyBorder="1" applyAlignment="1">
      <alignment horizontal="left" vertical="top"/>
    </xf>
    <xf numFmtId="0" fontId="35" fillId="2" borderId="6" xfId="0" applyFont="1" applyFill="1" applyBorder="1">
      <alignment vertical="center"/>
    </xf>
    <xf numFmtId="0" fontId="35" fillId="2" borderId="96" xfId="0" applyFont="1" applyFill="1" applyBorder="1" applyAlignment="1">
      <alignment vertical="center"/>
    </xf>
    <xf numFmtId="0" fontId="35" fillId="2" borderId="94" xfId="0" applyFont="1" applyFill="1" applyBorder="1" applyAlignment="1">
      <alignment horizontal="left" vertical="top"/>
    </xf>
    <xf numFmtId="0" fontId="35" fillId="2" borderId="94" xfId="0" applyFont="1" applyFill="1" applyBorder="1">
      <alignment vertical="center"/>
    </xf>
    <xf numFmtId="0" fontId="35" fillId="0" borderId="0" xfId="0" applyFont="1" applyAlignment="1">
      <alignment horizontal="left" vertical="center"/>
    </xf>
    <xf numFmtId="0" fontId="28" fillId="0" borderId="32" xfId="0" applyFont="1" applyBorder="1">
      <alignment vertical="center"/>
    </xf>
    <xf numFmtId="0" fontId="28" fillId="0" borderId="54" xfId="0" applyFont="1" applyBorder="1">
      <alignment vertical="center"/>
    </xf>
    <xf numFmtId="0" fontId="28" fillId="0" borderId="33" xfId="0" applyFont="1" applyBorder="1" applyAlignment="1">
      <alignment horizontal="center" vertical="center"/>
    </xf>
    <xf numFmtId="0" fontId="28" fillId="0" borderId="89" xfId="0" applyFont="1" applyBorder="1">
      <alignment vertical="center"/>
    </xf>
    <xf numFmtId="0" fontId="28" fillId="0" borderId="0" xfId="0" applyFont="1" applyBorder="1">
      <alignment vertical="center"/>
    </xf>
    <xf numFmtId="181" fontId="35" fillId="2" borderId="0" xfId="55" applyNumberFormat="1" applyFont="1" applyFill="1" applyBorder="1" applyAlignment="1">
      <alignment horizontal="right" vertical="center"/>
    </xf>
    <xf numFmtId="180" fontId="35" fillId="2" borderId="0" xfId="55" applyNumberFormat="1" applyFont="1" applyFill="1" applyBorder="1" applyAlignment="1">
      <alignment horizontal="right" vertical="center"/>
    </xf>
    <xf numFmtId="0" fontId="35" fillId="2" borderId="31" xfId="55" applyFont="1" applyFill="1" applyBorder="1">
      <alignment vertical="center"/>
    </xf>
    <xf numFmtId="0" fontId="35" fillId="2" borderId="32" xfId="55" applyFont="1" applyFill="1" applyBorder="1">
      <alignment vertical="center"/>
    </xf>
    <xf numFmtId="180" fontId="35" fillId="2" borderId="54" xfId="55" applyNumberFormat="1" applyFont="1" applyFill="1" applyBorder="1" applyAlignment="1">
      <alignment horizontal="right" vertical="center"/>
    </xf>
    <xf numFmtId="0" fontId="35" fillId="2" borderId="1" xfId="55" applyFont="1" applyFill="1" applyBorder="1" applyAlignment="1">
      <alignment horizontal="center" vertical="center"/>
    </xf>
    <xf numFmtId="0" fontId="35" fillId="2" borderId="4" xfId="55" applyFont="1" applyFill="1" applyBorder="1" applyAlignment="1">
      <alignment horizontal="center" vertical="center"/>
    </xf>
    <xf numFmtId="0" fontId="35" fillId="2" borderId="2" xfId="55" applyFont="1" applyFill="1" applyBorder="1" applyAlignment="1">
      <alignment horizontal="center" vertical="center"/>
    </xf>
    <xf numFmtId="180" fontId="35" fillId="2" borderId="7" xfId="55" applyNumberFormat="1" applyFont="1" applyFill="1" applyBorder="1" applyAlignment="1">
      <alignment horizontal="right" vertical="center"/>
    </xf>
    <xf numFmtId="182" fontId="35" fillId="27" borderId="41" xfId="55" applyNumberFormat="1" applyFont="1" applyFill="1" applyBorder="1" applyAlignment="1">
      <alignment horizontal="right" vertical="center"/>
    </xf>
    <xf numFmtId="180" fontId="35" fillId="28" borderId="42" xfId="86" applyNumberFormat="1" applyFont="1" applyFill="1" applyBorder="1" applyAlignment="1">
      <alignment horizontal="right" vertical="center"/>
    </xf>
    <xf numFmtId="182" fontId="35" fillId="27" borderId="39" xfId="55" applyNumberFormat="1" applyFont="1" applyFill="1" applyBorder="1" applyAlignment="1">
      <alignment horizontal="right" vertical="center"/>
    </xf>
    <xf numFmtId="180" fontId="35" fillId="2" borderId="28" xfId="55" applyNumberFormat="1" applyFont="1" applyFill="1" applyBorder="1" applyAlignment="1">
      <alignment horizontal="right" vertical="center"/>
    </xf>
    <xf numFmtId="182" fontId="35" fillId="27" borderId="73" xfId="55" applyNumberFormat="1" applyFont="1" applyFill="1" applyBorder="1" applyAlignment="1">
      <alignment horizontal="right" vertical="center"/>
    </xf>
    <xf numFmtId="182" fontId="35" fillId="27" borderId="69" xfId="55" applyNumberFormat="1" applyFont="1" applyFill="1" applyBorder="1" applyAlignment="1">
      <alignment horizontal="right" vertical="center"/>
    </xf>
    <xf numFmtId="0" fontId="35" fillId="2" borderId="71" xfId="55" applyFont="1" applyFill="1" applyBorder="1">
      <alignment vertical="center"/>
    </xf>
    <xf numFmtId="0" fontId="28" fillId="0" borderId="28" xfId="0" applyFont="1" applyBorder="1">
      <alignment vertical="center"/>
    </xf>
    <xf numFmtId="0" fontId="28" fillId="0" borderId="19" xfId="0" applyFont="1" applyBorder="1">
      <alignment vertical="center"/>
    </xf>
    <xf numFmtId="182" fontId="35" fillId="27" borderId="67" xfId="55" applyNumberFormat="1" applyFont="1" applyFill="1" applyBorder="1" applyAlignment="1">
      <alignment horizontal="right" vertical="center"/>
    </xf>
    <xf numFmtId="182" fontId="35" fillId="27" borderId="66" xfId="55" applyNumberFormat="1" applyFont="1" applyFill="1" applyBorder="1" applyAlignment="1">
      <alignment horizontal="right" vertical="center"/>
    </xf>
    <xf numFmtId="10" fontId="35" fillId="28" borderId="41" xfId="0" applyNumberFormat="1" applyFont="1" applyFill="1" applyBorder="1" applyAlignment="1">
      <alignment horizontal="right" vertical="center"/>
    </xf>
    <xf numFmtId="10" fontId="35" fillId="28" borderId="39" xfId="0" applyNumberFormat="1" applyFont="1" applyFill="1" applyBorder="1" applyAlignment="1">
      <alignment horizontal="right" vertical="center"/>
    </xf>
    <xf numFmtId="10" fontId="35" fillId="28" borderId="42" xfId="0" applyNumberFormat="1" applyFont="1" applyFill="1" applyBorder="1" applyAlignment="1">
      <alignment horizontal="right" vertical="center"/>
    </xf>
    <xf numFmtId="10" fontId="35" fillId="28" borderId="67" xfId="0" applyNumberFormat="1" applyFont="1" applyFill="1" applyBorder="1" applyAlignment="1">
      <alignment horizontal="right" vertical="center"/>
    </xf>
    <xf numFmtId="10" fontId="35" fillId="28" borderId="66" xfId="0" applyNumberFormat="1" applyFont="1" applyFill="1" applyBorder="1" applyAlignment="1">
      <alignment horizontal="right" vertical="center"/>
    </xf>
    <xf numFmtId="10" fontId="35" fillId="28" borderId="68" xfId="0" applyNumberFormat="1" applyFont="1" applyFill="1" applyBorder="1" applyAlignment="1">
      <alignment horizontal="right" vertical="center"/>
    </xf>
    <xf numFmtId="10" fontId="31" fillId="28" borderId="30" xfId="2" applyNumberFormat="1" applyFont="1" applyFill="1" applyBorder="1" applyAlignment="1" applyProtection="1">
      <alignment vertical="center"/>
    </xf>
    <xf numFmtId="176" fontId="28" fillId="27" borderId="95" xfId="0" applyNumberFormat="1" applyFont="1" applyFill="1" applyBorder="1" applyAlignment="1">
      <alignment vertical="center"/>
    </xf>
    <xf numFmtId="0" fontId="28" fillId="2" borderId="31" xfId="0" applyNumberFormat="1" applyFont="1" applyFill="1" applyBorder="1" applyAlignment="1">
      <alignment horizontal="center" vertical="center"/>
    </xf>
    <xf numFmtId="176" fontId="28" fillId="29" borderId="37" xfId="0" applyNumberFormat="1" applyFont="1" applyFill="1" applyBorder="1" applyAlignment="1">
      <alignment vertical="center"/>
    </xf>
    <xf numFmtId="176" fontId="28" fillId="29" borderId="95" xfId="0" applyNumberFormat="1" applyFont="1" applyFill="1" applyBorder="1" applyAlignment="1">
      <alignment vertical="center"/>
    </xf>
    <xf numFmtId="180" fontId="28" fillId="29" borderId="95" xfId="0" applyNumberFormat="1" applyFont="1" applyFill="1" applyBorder="1" applyAlignment="1">
      <alignment vertical="center"/>
    </xf>
    <xf numFmtId="188" fontId="28" fillId="27" borderId="95" xfId="0" applyNumberFormat="1" applyFont="1" applyFill="1" applyBorder="1" applyAlignment="1">
      <alignment vertical="center"/>
    </xf>
    <xf numFmtId="180" fontId="28" fillId="29" borderId="96" xfId="0" applyNumberFormat="1" applyFont="1" applyFill="1" applyBorder="1" applyAlignment="1">
      <alignment vertical="center"/>
    </xf>
    <xf numFmtId="176" fontId="35" fillId="29" borderId="95" xfId="55" applyNumberFormat="1" applyFont="1" applyFill="1" applyBorder="1" applyAlignment="1">
      <alignment horizontal="right" vertical="center"/>
    </xf>
    <xf numFmtId="0" fontId="6" fillId="2" borderId="117" xfId="81" applyNumberFormat="1" applyFont="1" applyFill="1" applyBorder="1" applyAlignment="1" applyProtection="1">
      <alignment horizontal="center" vertical="center"/>
    </xf>
    <xf numFmtId="176" fontId="35" fillId="29" borderId="96" xfId="55" applyNumberFormat="1" applyFont="1" applyFill="1" applyBorder="1" applyAlignment="1">
      <alignment horizontal="right" vertical="center"/>
    </xf>
    <xf numFmtId="0" fontId="36" fillId="2" borderId="0" xfId="0" applyFont="1" applyFill="1" applyBorder="1" applyAlignment="1">
      <alignment vertical="top" wrapText="1"/>
    </xf>
    <xf numFmtId="0" fontId="36" fillId="2" borderId="0" xfId="0" applyFont="1" applyFill="1" applyBorder="1" applyAlignment="1">
      <alignment vertical="top"/>
    </xf>
    <xf numFmtId="0" fontId="36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top"/>
    </xf>
    <xf numFmtId="176" fontId="28" fillId="27" borderId="158" xfId="0" applyNumberFormat="1" applyFont="1" applyFill="1" applyBorder="1" applyAlignment="1">
      <alignment vertical="center"/>
    </xf>
    <xf numFmtId="185" fontId="28" fillId="2" borderId="69" xfId="0" applyNumberFormat="1" applyFont="1" applyFill="1" applyBorder="1" applyAlignment="1">
      <alignment horizontal="right" vertical="center"/>
    </xf>
    <xf numFmtId="176" fontId="28" fillId="2" borderId="69" xfId="0" applyNumberFormat="1" applyFont="1" applyFill="1" applyBorder="1" applyAlignment="1">
      <alignment horizontal="right" vertical="center"/>
    </xf>
    <xf numFmtId="176" fontId="28" fillId="2" borderId="66" xfId="0" applyNumberFormat="1" applyFont="1" applyFill="1" applyBorder="1" applyAlignment="1">
      <alignment horizontal="right" vertical="center"/>
    </xf>
    <xf numFmtId="0" fontId="28" fillId="29" borderId="39" xfId="0" applyNumberFormat="1" applyFont="1" applyFill="1" applyBorder="1" applyAlignment="1">
      <alignment horizontal="right" vertical="center"/>
    </xf>
    <xf numFmtId="186" fontId="28" fillId="27" borderId="69" xfId="0" applyNumberFormat="1" applyFont="1" applyFill="1" applyBorder="1" applyAlignment="1">
      <alignment horizontal="right" vertical="center"/>
    </xf>
    <xf numFmtId="186" fontId="28" fillId="30" borderId="69" xfId="0" applyNumberFormat="1" applyFont="1" applyFill="1" applyBorder="1" applyAlignment="1">
      <alignment horizontal="right" vertical="center"/>
    </xf>
    <xf numFmtId="176" fontId="28" fillId="27" borderId="69" xfId="0" applyNumberFormat="1" applyFont="1" applyFill="1" applyBorder="1" applyAlignment="1">
      <alignment horizontal="right" vertical="center"/>
    </xf>
    <xf numFmtId="176" fontId="28" fillId="27" borderId="75" xfId="0" applyNumberFormat="1" applyFont="1" applyFill="1" applyBorder="1" applyAlignment="1">
      <alignment horizontal="right" vertical="center"/>
    </xf>
    <xf numFmtId="176" fontId="28" fillId="27" borderId="69" xfId="0" applyNumberFormat="1" applyFont="1" applyFill="1" applyBorder="1">
      <alignment vertical="center"/>
    </xf>
    <xf numFmtId="176" fontId="28" fillId="27" borderId="29" xfId="0" applyNumberFormat="1" applyFont="1" applyFill="1" applyBorder="1">
      <alignment vertical="center"/>
    </xf>
    <xf numFmtId="176" fontId="28" fillId="27" borderId="66" xfId="0" applyNumberFormat="1" applyFont="1" applyFill="1" applyBorder="1" applyAlignment="1">
      <alignment horizontal="right" vertical="center"/>
    </xf>
    <xf numFmtId="176" fontId="28" fillId="29" borderId="39" xfId="0" applyNumberFormat="1" applyFont="1" applyFill="1" applyBorder="1">
      <alignment vertical="center"/>
    </xf>
    <xf numFmtId="176" fontId="28" fillId="28" borderId="69" xfId="0" applyNumberFormat="1" applyFont="1" applyFill="1" applyBorder="1">
      <alignment vertical="center"/>
    </xf>
    <xf numFmtId="0" fontId="28" fillId="2" borderId="69" xfId="0" applyNumberFormat="1" applyFont="1" applyFill="1" applyBorder="1">
      <alignment vertical="center"/>
    </xf>
    <xf numFmtId="180" fontId="28" fillId="29" borderId="69" xfId="0" applyNumberFormat="1" applyFont="1" applyFill="1" applyBorder="1">
      <alignment vertical="center"/>
    </xf>
    <xf numFmtId="176" fontId="28" fillId="2" borderId="69" xfId="0" applyNumberFormat="1" applyFont="1" applyFill="1" applyBorder="1">
      <alignment vertical="center"/>
    </xf>
    <xf numFmtId="176" fontId="28" fillId="29" borderId="75" xfId="0" applyNumberFormat="1" applyFont="1" applyFill="1" applyBorder="1">
      <alignment vertical="center"/>
    </xf>
    <xf numFmtId="176" fontId="28" fillId="27" borderId="75" xfId="0" applyNumberFormat="1" applyFont="1" applyFill="1" applyBorder="1">
      <alignment vertical="center"/>
    </xf>
    <xf numFmtId="176" fontId="28" fillId="29" borderId="69" xfId="0" applyNumberFormat="1" applyFont="1" applyFill="1" applyBorder="1">
      <alignment vertical="center"/>
    </xf>
    <xf numFmtId="176" fontId="28" fillId="29" borderId="66" xfId="0" applyNumberFormat="1" applyFont="1" applyFill="1" applyBorder="1">
      <alignment vertical="center"/>
    </xf>
    <xf numFmtId="176" fontId="28" fillId="29" borderId="9" xfId="0" applyNumberFormat="1" applyFont="1" applyFill="1" applyBorder="1" applyAlignment="1">
      <alignment horizontal="right" vertical="center" shrinkToFit="1"/>
    </xf>
    <xf numFmtId="176" fontId="28" fillId="29" borderId="69" xfId="0" applyNumberFormat="1" applyFont="1" applyFill="1" applyBorder="1" applyAlignment="1">
      <alignment horizontal="right" vertical="center" shrinkToFit="1"/>
    </xf>
    <xf numFmtId="176" fontId="28" fillId="27" borderId="69" xfId="0" applyNumberFormat="1" applyFont="1" applyFill="1" applyBorder="1" applyAlignment="1">
      <alignment horizontal="right" vertical="center" shrinkToFit="1"/>
    </xf>
    <xf numFmtId="176" fontId="6" fillId="28" borderId="188" xfId="0" applyNumberFormat="1" applyFont="1" applyFill="1" applyBorder="1" applyAlignment="1">
      <alignment horizontal="right" vertical="center" shrinkToFit="1"/>
    </xf>
    <xf numFmtId="176" fontId="6" fillId="28" borderId="189" xfId="0" applyNumberFormat="1" applyFont="1" applyFill="1" applyBorder="1" applyAlignment="1">
      <alignment horizontal="right" vertical="center" shrinkToFit="1"/>
    </xf>
    <xf numFmtId="187" fontId="6" fillId="27" borderId="189" xfId="0" applyNumberFormat="1" applyFont="1" applyFill="1" applyBorder="1" applyAlignment="1">
      <alignment horizontal="right" vertical="center" shrinkToFit="1"/>
    </xf>
    <xf numFmtId="176" fontId="6" fillId="27" borderId="189" xfId="0" applyNumberFormat="1" applyFont="1" applyFill="1" applyBorder="1" applyAlignment="1">
      <alignment horizontal="right" vertical="center" shrinkToFit="1"/>
    </xf>
    <xf numFmtId="10" fontId="6" fillId="28" borderId="189" xfId="0" applyNumberFormat="1" applyFont="1" applyFill="1" applyBorder="1" applyAlignment="1">
      <alignment vertical="center" shrinkToFit="1"/>
    </xf>
    <xf numFmtId="184" fontId="6" fillId="28" borderId="189" xfId="0" applyNumberFormat="1" applyFont="1" applyFill="1" applyBorder="1" applyAlignment="1">
      <alignment vertical="center" shrinkToFit="1"/>
    </xf>
    <xf numFmtId="176" fontId="28" fillId="27" borderId="75" xfId="0" applyNumberFormat="1" applyFont="1" applyFill="1" applyBorder="1" applyAlignment="1">
      <alignment horizontal="right" vertical="center" shrinkToFit="1"/>
    </xf>
    <xf numFmtId="176" fontId="28" fillId="29" borderId="2" xfId="0" applyNumberFormat="1" applyFont="1" applyFill="1" applyBorder="1" applyAlignment="1">
      <alignment horizontal="right" vertical="center" shrinkToFit="1"/>
    </xf>
    <xf numFmtId="10" fontId="28" fillId="27" borderId="30" xfId="0" applyNumberFormat="1" applyFont="1" applyFill="1" applyBorder="1" applyAlignment="1">
      <alignment horizontal="right" vertical="center" shrinkToFit="1"/>
    </xf>
    <xf numFmtId="0" fontId="28" fillId="2" borderId="2" xfId="0" applyNumberFormat="1" applyFont="1" applyFill="1" applyBorder="1" applyAlignment="1">
      <alignment horizontal="center" vertical="center"/>
    </xf>
    <xf numFmtId="176" fontId="28" fillId="29" borderId="69" xfId="0" applyNumberFormat="1" applyFont="1" applyFill="1" applyBorder="1" applyAlignment="1">
      <alignment horizontal="right" vertical="center"/>
    </xf>
    <xf numFmtId="180" fontId="28" fillId="29" borderId="69" xfId="0" applyNumberFormat="1" applyFont="1" applyFill="1" applyBorder="1" applyAlignment="1">
      <alignment horizontal="right" vertical="center"/>
    </xf>
    <xf numFmtId="188" fontId="28" fillId="29" borderId="69" xfId="0" applyNumberFormat="1" applyFont="1" applyFill="1" applyBorder="1" applyAlignment="1">
      <alignment horizontal="right" vertical="center"/>
    </xf>
    <xf numFmtId="180" fontId="28" fillId="29" borderId="66" xfId="0" applyNumberFormat="1" applyFont="1" applyFill="1" applyBorder="1" applyAlignment="1">
      <alignment horizontal="right" vertical="center"/>
    </xf>
    <xf numFmtId="188" fontId="28" fillId="27" borderId="69" xfId="0" applyNumberFormat="1" applyFont="1" applyFill="1" applyBorder="1" applyAlignment="1">
      <alignment horizontal="right" vertical="center"/>
    </xf>
    <xf numFmtId="176" fontId="35" fillId="29" borderId="95" xfId="55" applyNumberFormat="1" applyFont="1" applyFill="1" applyBorder="1" applyAlignment="1">
      <alignment vertical="center"/>
    </xf>
    <xf numFmtId="176" fontId="35" fillId="29" borderId="96" xfId="55" applyNumberFormat="1" applyFont="1" applyFill="1" applyBorder="1" applyAlignment="1">
      <alignment vertical="center"/>
    </xf>
    <xf numFmtId="0" fontId="35" fillId="2" borderId="112" xfId="55" applyNumberFormat="1" applyFont="1" applyFill="1" applyBorder="1" applyAlignment="1">
      <alignment horizontal="centerContinuous" vertical="center"/>
    </xf>
    <xf numFmtId="0" fontId="35" fillId="2" borderId="113" xfId="55" applyNumberFormat="1" applyFont="1" applyFill="1" applyBorder="1" applyAlignment="1">
      <alignment horizontal="centerContinuous" vertical="center"/>
    </xf>
    <xf numFmtId="0" fontId="35" fillId="2" borderId="114" xfId="55" applyNumberFormat="1" applyFont="1" applyFill="1" applyBorder="1" applyAlignment="1">
      <alignment horizontal="centerContinuous" vertical="center"/>
    </xf>
    <xf numFmtId="0" fontId="35" fillId="2" borderId="115" xfId="55" applyNumberFormat="1" applyFont="1" applyFill="1" applyBorder="1" applyAlignment="1">
      <alignment horizontal="centerContinuous" vertical="center"/>
    </xf>
    <xf numFmtId="0" fontId="35" fillId="2" borderId="116" xfId="55" applyNumberFormat="1" applyFont="1" applyFill="1" applyBorder="1" applyAlignment="1">
      <alignment horizontal="centerContinuous" vertical="center"/>
    </xf>
    <xf numFmtId="0" fontId="6" fillId="2" borderId="190" xfId="81" applyNumberFormat="1" applyFont="1" applyFill="1" applyBorder="1" applyAlignment="1" applyProtection="1">
      <alignment horizontal="center" vertical="center"/>
    </xf>
    <xf numFmtId="176" fontId="35" fillId="29" borderId="161" xfId="55" applyNumberFormat="1" applyFont="1" applyFill="1" applyBorder="1" applyAlignment="1">
      <alignment horizontal="right" vertical="center"/>
    </xf>
    <xf numFmtId="176" fontId="35" fillId="29" borderId="148" xfId="55" applyNumberFormat="1" applyFont="1" applyFill="1" applyBorder="1" applyAlignment="1">
      <alignment horizontal="right" vertical="center"/>
    </xf>
    <xf numFmtId="180" fontId="35" fillId="29" borderId="133" xfId="55" applyNumberFormat="1" applyFont="1" applyFill="1" applyBorder="1" applyAlignment="1">
      <alignment horizontal="right" vertical="center"/>
    </xf>
    <xf numFmtId="180" fontId="35" fillId="29" borderId="161" xfId="55" applyNumberFormat="1" applyFont="1" applyFill="1" applyBorder="1" applyAlignment="1">
      <alignment horizontal="right" vertical="center"/>
    </xf>
    <xf numFmtId="180" fontId="35" fillId="29" borderId="148" xfId="55" applyNumberFormat="1" applyFont="1" applyFill="1" applyBorder="1" applyAlignment="1">
      <alignment horizontal="right" vertical="center"/>
    </xf>
    <xf numFmtId="180" fontId="35" fillId="29" borderId="191" xfId="55" applyNumberFormat="1" applyFont="1" applyFill="1" applyBorder="1" applyAlignment="1">
      <alignment horizontal="right" vertical="center"/>
    </xf>
    <xf numFmtId="0" fontId="28" fillId="2" borderId="37" xfId="0" applyNumberFormat="1" applyFont="1" applyFill="1" applyBorder="1" applyAlignment="1">
      <alignment vertical="top"/>
    </xf>
    <xf numFmtId="188" fontId="28" fillId="29" borderId="95" xfId="0" applyNumberFormat="1" applyFont="1" applyFill="1" applyBorder="1" applyAlignment="1">
      <alignment vertical="center"/>
    </xf>
    <xf numFmtId="176" fontId="28" fillId="27" borderId="33" xfId="0" applyNumberFormat="1" applyFont="1" applyFill="1" applyBorder="1" applyAlignment="1">
      <alignment vertical="center"/>
    </xf>
    <xf numFmtId="183" fontId="31" fillId="28" borderId="196" xfId="2" applyNumberFormat="1" applyFont="1" applyFill="1" applyBorder="1" applyAlignment="1" applyProtection="1">
      <alignment vertical="center"/>
    </xf>
    <xf numFmtId="0" fontId="31" fillId="2" borderId="197" xfId="2" applyFont="1" applyFill="1" applyBorder="1" applyAlignment="1" applyProtection="1">
      <alignment horizontal="center" vertical="center" shrinkToFit="1"/>
    </xf>
    <xf numFmtId="0" fontId="31" fillId="2" borderId="198" xfId="2" applyFont="1" applyFill="1" applyBorder="1" applyAlignment="1" applyProtection="1">
      <alignment horizontal="center" vertical="center" shrinkToFit="1"/>
    </xf>
    <xf numFmtId="0" fontId="31" fillId="2" borderId="199" xfId="2" applyFont="1" applyFill="1" applyBorder="1" applyAlignment="1" applyProtection="1">
      <alignment horizontal="center" vertical="center" shrinkToFit="1"/>
    </xf>
    <xf numFmtId="183" fontId="31" fillId="28" borderId="200" xfId="2" applyNumberFormat="1" applyFont="1" applyFill="1" applyBorder="1" applyAlignment="1" applyProtection="1">
      <alignment horizontal="right" vertical="center"/>
    </xf>
    <xf numFmtId="183" fontId="31" fillId="28" borderId="201" xfId="2" applyNumberFormat="1" applyFont="1" applyFill="1" applyBorder="1" applyAlignment="1" applyProtection="1">
      <alignment horizontal="right" vertical="center"/>
    </xf>
    <xf numFmtId="183" fontId="31" fillId="28" borderId="202" xfId="2" applyNumberFormat="1" applyFont="1" applyFill="1" applyBorder="1" applyAlignment="1" applyProtection="1">
      <alignment vertical="center"/>
    </xf>
    <xf numFmtId="183" fontId="31" fillId="28" borderId="203" xfId="2" applyNumberFormat="1" applyFont="1" applyFill="1" applyBorder="1" applyAlignment="1" applyProtection="1">
      <alignment vertical="center"/>
    </xf>
    <xf numFmtId="183" fontId="31" fillId="28" borderId="204" xfId="2" applyNumberFormat="1" applyFont="1" applyFill="1" applyBorder="1" applyAlignment="1" applyProtection="1">
      <alignment vertical="center"/>
    </xf>
    <xf numFmtId="0" fontId="31" fillId="2" borderId="205" xfId="2" applyFont="1" applyFill="1" applyBorder="1" applyAlignment="1" applyProtection="1">
      <alignment horizontal="center" vertical="center" shrinkToFit="1"/>
    </xf>
    <xf numFmtId="0" fontId="31" fillId="2" borderId="206" xfId="2" applyFont="1" applyFill="1" applyBorder="1" applyAlignment="1">
      <alignment horizontal="left" vertical="center"/>
    </xf>
    <xf numFmtId="0" fontId="31" fillId="2" borderId="207" xfId="2" applyFont="1" applyFill="1" applyBorder="1" applyAlignment="1">
      <alignment horizontal="left" vertical="center"/>
    </xf>
    <xf numFmtId="0" fontId="31" fillId="2" borderId="208" xfId="2" applyFont="1" applyFill="1" applyBorder="1" applyAlignment="1">
      <alignment horizontal="left" vertical="center"/>
    </xf>
    <xf numFmtId="176" fontId="42" fillId="2" borderId="0" xfId="2" applyNumberFormat="1" applyFont="1" applyFill="1" applyBorder="1" applyAlignment="1" applyProtection="1">
      <alignment vertical="center"/>
    </xf>
    <xf numFmtId="0" fontId="42" fillId="2" borderId="36" xfId="2" applyFont="1" applyFill="1" applyBorder="1" applyAlignment="1" applyProtection="1">
      <alignment horizontal="center" vertical="center" shrinkToFit="1"/>
    </xf>
    <xf numFmtId="176" fontId="42" fillId="27" borderId="41" xfId="2" applyNumberFormat="1" applyFont="1" applyFill="1" applyBorder="1" applyAlignment="1" applyProtection="1">
      <alignment vertical="center"/>
    </xf>
    <xf numFmtId="176" fontId="42" fillId="27" borderId="73" xfId="2" applyNumberFormat="1" applyFont="1" applyFill="1" applyBorder="1" applyAlignment="1" applyProtection="1">
      <alignment vertical="center"/>
    </xf>
    <xf numFmtId="176" fontId="42" fillId="27" borderId="17" xfId="2" applyNumberFormat="1" applyFont="1" applyFill="1" applyBorder="1" applyAlignment="1" applyProtection="1">
      <alignment vertical="center"/>
    </xf>
    <xf numFmtId="176" fontId="42" fillId="27" borderId="12" xfId="2" applyNumberFormat="1" applyFont="1" applyFill="1" applyBorder="1" applyAlignment="1" applyProtection="1">
      <alignment vertical="center"/>
    </xf>
    <xf numFmtId="0" fontId="42" fillId="2" borderId="125" xfId="2" applyFont="1" applyFill="1" applyBorder="1" applyAlignment="1" applyProtection="1">
      <alignment horizontal="center" vertical="center" shrinkToFit="1"/>
    </xf>
    <xf numFmtId="176" fontId="42" fillId="27" borderId="7" xfId="2" applyNumberFormat="1" applyFont="1" applyFill="1" applyBorder="1" applyAlignment="1" applyProtection="1">
      <alignment vertical="center"/>
    </xf>
    <xf numFmtId="176" fontId="42" fillId="27" borderId="165" xfId="2" applyNumberFormat="1" applyFont="1" applyFill="1" applyBorder="1" applyAlignment="1" applyProtection="1">
      <alignment vertical="center"/>
    </xf>
    <xf numFmtId="176" fontId="42" fillId="27" borderId="55" xfId="2" applyNumberFormat="1" applyFont="1" applyFill="1" applyBorder="1" applyAlignment="1" applyProtection="1">
      <alignment vertical="center"/>
    </xf>
    <xf numFmtId="176" fontId="42" fillId="27" borderId="145" xfId="2" applyNumberFormat="1" applyFont="1" applyFill="1" applyBorder="1" applyAlignment="1" applyProtection="1">
      <alignment vertical="center"/>
    </xf>
    <xf numFmtId="0" fontId="42" fillId="2" borderId="187" xfId="2" applyFont="1" applyFill="1" applyBorder="1" applyAlignment="1" applyProtection="1">
      <alignment horizontal="center" vertical="center" shrinkToFit="1"/>
    </xf>
    <xf numFmtId="176" fontId="42" fillId="27" borderId="39" xfId="2" applyNumberFormat="1" applyFont="1" applyFill="1" applyBorder="1" applyAlignment="1" applyProtection="1">
      <alignment vertical="center"/>
    </xf>
    <xf numFmtId="176" fontId="42" fillId="27" borderId="69" xfId="2" applyNumberFormat="1" applyFont="1" applyFill="1" applyBorder="1" applyAlignment="1" applyProtection="1">
      <alignment vertical="center"/>
    </xf>
    <xf numFmtId="176" fontId="42" fillId="27" borderId="30" xfId="2" applyNumberFormat="1" applyFont="1" applyFill="1" applyBorder="1" applyAlignment="1" applyProtection="1">
      <alignment vertical="center"/>
    </xf>
    <xf numFmtId="176" fontId="42" fillId="27" borderId="29" xfId="2" applyNumberFormat="1" applyFont="1" applyFill="1" applyBorder="1" applyAlignment="1" applyProtection="1">
      <alignment vertical="center"/>
    </xf>
    <xf numFmtId="0" fontId="42" fillId="2" borderId="54" xfId="2" applyFont="1" applyFill="1" applyBorder="1" applyAlignment="1" applyProtection="1">
      <alignment horizontal="center" vertical="center" shrinkToFit="1"/>
    </xf>
    <xf numFmtId="0" fontId="42" fillId="2" borderId="34" xfId="2" applyFont="1" applyFill="1" applyBorder="1" applyAlignment="1" applyProtection="1">
      <alignment horizontal="center" vertical="center" shrinkToFit="1"/>
    </xf>
    <xf numFmtId="176" fontId="42" fillId="27" borderId="38" xfId="2" applyNumberFormat="1" applyFont="1" applyFill="1" applyBorder="1" applyAlignment="1" applyProtection="1">
      <alignment vertical="center"/>
    </xf>
    <xf numFmtId="176" fontId="42" fillId="27" borderId="47" xfId="2" applyNumberFormat="1" applyFont="1" applyFill="1" applyBorder="1" applyAlignment="1" applyProtection="1">
      <alignment vertical="center"/>
    </xf>
    <xf numFmtId="0" fontId="42" fillId="2" borderId="1" xfId="2" applyFont="1" applyFill="1" applyBorder="1" applyAlignment="1" applyProtection="1">
      <alignment horizontal="center" vertical="center" shrinkToFit="1"/>
    </xf>
    <xf numFmtId="0" fontId="42" fillId="2" borderId="2" xfId="2" applyFont="1" applyFill="1" applyBorder="1" applyAlignment="1" applyProtection="1">
      <alignment horizontal="center" vertical="center" shrinkToFit="1"/>
    </xf>
    <xf numFmtId="176" fontId="42" fillId="28" borderId="17" xfId="2" applyNumberFormat="1" applyFont="1" applyFill="1" applyBorder="1" applyAlignment="1" applyProtection="1">
      <alignment vertical="center"/>
    </xf>
    <xf numFmtId="176" fontId="42" fillId="28" borderId="55" xfId="2" applyNumberFormat="1" applyFont="1" applyFill="1" applyBorder="1" applyAlignment="1" applyProtection="1">
      <alignment vertical="center"/>
    </xf>
    <xf numFmtId="176" fontId="42" fillId="28" borderId="30" xfId="2" applyNumberFormat="1" applyFont="1" applyFill="1" applyBorder="1" applyAlignment="1" applyProtection="1">
      <alignment vertical="center"/>
    </xf>
    <xf numFmtId="176" fontId="28" fillId="28" borderId="131" xfId="0" applyNumberFormat="1" applyFont="1" applyFill="1" applyBorder="1" applyAlignment="1">
      <alignment horizontal="right" vertical="center" shrinkToFit="1"/>
    </xf>
    <xf numFmtId="176" fontId="28" fillId="28" borderId="121" xfId="0" applyNumberFormat="1" applyFont="1" applyFill="1" applyBorder="1" applyAlignment="1">
      <alignment horizontal="right" vertical="center" shrinkToFit="1"/>
    </xf>
    <xf numFmtId="176" fontId="28" fillId="28" borderId="69" xfId="0" applyNumberFormat="1" applyFont="1" applyFill="1" applyBorder="1" applyAlignment="1">
      <alignment horizontal="right" vertical="center" shrinkToFit="1"/>
    </xf>
    <xf numFmtId="0" fontId="43" fillId="2" borderId="0" xfId="87" applyFont="1" applyFill="1" applyAlignment="1" applyProtection="1">
      <alignment vertical="center"/>
    </xf>
    <xf numFmtId="0" fontId="34" fillId="2" borderId="0" xfId="87" applyFont="1" applyFill="1" applyAlignment="1" applyProtection="1">
      <alignment vertical="center"/>
    </xf>
    <xf numFmtId="0" fontId="37" fillId="2" borderId="51" xfId="0" applyFont="1" applyFill="1" applyBorder="1" applyAlignment="1">
      <alignment vertical="top"/>
    </xf>
    <xf numFmtId="0" fontId="35" fillId="2" borderId="0" xfId="0" applyFont="1" applyFill="1" applyAlignment="1">
      <alignment vertical="top"/>
    </xf>
    <xf numFmtId="0" fontId="42" fillId="2" borderId="36" xfId="2" applyFont="1" applyFill="1" applyBorder="1" applyAlignment="1">
      <alignment horizontal="left" vertical="center" wrapText="1"/>
    </xf>
    <xf numFmtId="0" fontId="42" fillId="2" borderId="77" xfId="2" applyFont="1" applyFill="1" applyBorder="1" applyAlignment="1">
      <alignment horizontal="left" vertical="center" wrapText="1"/>
    </xf>
    <xf numFmtId="0" fontId="42" fillId="2" borderId="73" xfId="2" applyFont="1" applyFill="1" applyBorder="1" applyAlignment="1">
      <alignment horizontal="left" vertical="center" wrapText="1"/>
    </xf>
    <xf numFmtId="0" fontId="42" fillId="2" borderId="17" xfId="2" applyFont="1" applyFill="1" applyBorder="1" applyAlignment="1">
      <alignment horizontal="left" vertical="center" wrapText="1"/>
    </xf>
    <xf numFmtId="0" fontId="42" fillId="2" borderId="12" xfId="2" applyFont="1" applyFill="1" applyBorder="1" applyAlignment="1">
      <alignment horizontal="left" vertical="center" wrapText="1"/>
    </xf>
    <xf numFmtId="0" fontId="42" fillId="2" borderId="41" xfId="2" applyFont="1" applyFill="1" applyBorder="1" applyAlignment="1">
      <alignment horizontal="left" vertical="center" wrapText="1"/>
    </xf>
    <xf numFmtId="0" fontId="42" fillId="2" borderId="17" xfId="2" applyFont="1" applyFill="1" applyBorder="1" applyAlignment="1">
      <alignment horizontal="left" vertical="center"/>
    </xf>
    <xf numFmtId="189" fontId="6" fillId="2" borderId="67" xfId="2" applyNumberFormat="1" applyFont="1" applyFill="1" applyBorder="1" applyAlignment="1" applyProtection="1">
      <alignment horizontal="right" vertical="center"/>
      <protection locked="0"/>
    </xf>
    <xf numFmtId="189" fontId="6" fillId="2" borderId="66" xfId="2" applyNumberFormat="1" applyFont="1" applyFill="1" applyBorder="1" applyAlignment="1" applyProtection="1">
      <alignment horizontal="right" vertical="center"/>
      <protection locked="0"/>
    </xf>
    <xf numFmtId="189" fontId="6" fillId="2" borderId="65" xfId="2" applyNumberFormat="1" applyFont="1" applyFill="1" applyBorder="1" applyAlignment="1" applyProtection="1">
      <alignment horizontal="right" vertical="center"/>
      <protection locked="0"/>
    </xf>
    <xf numFmtId="189" fontId="6" fillId="2" borderId="107" xfId="2" applyNumberFormat="1" applyFont="1" applyFill="1" applyBorder="1" applyAlignment="1" applyProtection="1">
      <alignment horizontal="right" vertical="center"/>
      <protection locked="0"/>
    </xf>
    <xf numFmtId="176" fontId="42" fillId="27" borderId="36" xfId="2" applyNumberFormat="1" applyFont="1" applyFill="1" applyBorder="1" applyAlignment="1" applyProtection="1">
      <alignment vertical="center"/>
    </xf>
    <xf numFmtId="176" fontId="42" fillId="27" borderId="187" xfId="2" applyNumberFormat="1" applyFont="1" applyFill="1" applyBorder="1" applyAlignment="1" applyProtection="1">
      <alignment vertical="center"/>
    </xf>
    <xf numFmtId="176" fontId="42" fillId="27" borderId="125" xfId="2" applyNumberFormat="1" applyFont="1" applyFill="1" applyBorder="1" applyAlignment="1" applyProtection="1">
      <alignment vertical="center"/>
    </xf>
    <xf numFmtId="176" fontId="42" fillId="27" borderId="77" xfId="2" applyNumberFormat="1" applyFont="1" applyFill="1" applyBorder="1" applyAlignment="1" applyProtection="1">
      <alignment vertical="center"/>
    </xf>
    <xf numFmtId="176" fontId="42" fillId="27" borderId="75" xfId="2" applyNumberFormat="1" applyFont="1" applyFill="1" applyBorder="1" applyAlignment="1" applyProtection="1">
      <alignment vertical="center"/>
    </xf>
    <xf numFmtId="176" fontId="42" fillId="27" borderId="14" xfId="2" applyNumberFormat="1" applyFont="1" applyFill="1" applyBorder="1" applyAlignment="1" applyProtection="1">
      <alignment vertical="center"/>
    </xf>
    <xf numFmtId="0" fontId="42" fillId="2" borderId="44" xfId="2" applyFont="1" applyFill="1" applyBorder="1" applyAlignment="1" applyProtection="1">
      <alignment horizontal="center" vertical="center" shrinkToFit="1"/>
    </xf>
    <xf numFmtId="10" fontId="28" fillId="2" borderId="0" xfId="0" applyNumberFormat="1" applyFont="1" applyFill="1">
      <alignment vertical="center"/>
    </xf>
    <xf numFmtId="0" fontId="28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6" fillId="2" borderId="3" xfId="2" applyFont="1" applyFill="1" applyBorder="1" applyAlignment="1" applyProtection="1">
      <alignment horizontal="center" vertical="center"/>
    </xf>
    <xf numFmtId="0" fontId="6" fillId="2" borderId="9" xfId="3" applyFont="1" applyFill="1" applyBorder="1" applyAlignment="1" applyProtection="1">
      <alignment horizontal="left" vertical="top" wrapText="1"/>
    </xf>
    <xf numFmtId="0" fontId="35" fillId="2" borderId="29" xfId="3" applyFont="1" applyFill="1" applyBorder="1" applyAlignment="1" applyProtection="1">
      <alignment horizontal="left" vertical="top" wrapText="1"/>
    </xf>
    <xf numFmtId="0" fontId="6" fillId="2" borderId="9" xfId="3" applyFont="1" applyFill="1" applyBorder="1" applyAlignment="1" applyProtection="1">
      <alignment horizontal="left" vertical="top"/>
    </xf>
    <xf numFmtId="0" fontId="28" fillId="2" borderId="43" xfId="0" applyNumberFormat="1" applyFont="1" applyFill="1" applyBorder="1" applyAlignment="1">
      <alignment horizontal="center" vertical="center"/>
    </xf>
    <xf numFmtId="0" fontId="38" fillId="27" borderId="164" xfId="81" applyNumberFormat="1" applyFont="1" applyFill="1" applyBorder="1" applyAlignment="1" applyProtection="1">
      <alignment vertical="center"/>
    </xf>
    <xf numFmtId="0" fontId="28" fillId="2" borderId="0" xfId="0" applyNumberFormat="1" applyFont="1" applyFill="1" applyBorder="1" applyAlignment="1">
      <alignment vertical="center" shrinkToFit="1"/>
    </xf>
    <xf numFmtId="176" fontId="35" fillId="27" borderId="38" xfId="0" applyNumberFormat="1" applyFont="1" applyFill="1" applyBorder="1">
      <alignment vertical="center"/>
    </xf>
    <xf numFmtId="176" fontId="35" fillId="27" borderId="76" xfId="0" applyNumberFormat="1" applyFont="1" applyFill="1" applyBorder="1">
      <alignment vertical="center"/>
    </xf>
    <xf numFmtId="176" fontId="35" fillId="28" borderId="34" xfId="0" applyNumberFormat="1" applyFont="1" applyFill="1" applyBorder="1" applyAlignment="1">
      <alignment vertical="center" shrinkToFit="1"/>
    </xf>
    <xf numFmtId="180" fontId="35" fillId="28" borderId="4" xfId="86" applyNumberFormat="1" applyFont="1" applyFill="1" applyBorder="1" applyAlignment="1">
      <alignment horizontal="right" vertical="center" shrinkToFit="1"/>
    </xf>
    <xf numFmtId="176" fontId="35" fillId="27" borderId="8" xfId="0" applyNumberFormat="1" applyFont="1" applyFill="1" applyBorder="1" applyAlignment="1">
      <alignment vertical="center" shrinkToFit="1"/>
    </xf>
    <xf numFmtId="180" fontId="35" fillId="28" borderId="11" xfId="86" applyNumberFormat="1" applyFont="1" applyFill="1" applyBorder="1" applyAlignment="1">
      <alignment horizontal="right" vertical="center"/>
    </xf>
    <xf numFmtId="180" fontId="35" fillId="28" borderId="78" xfId="86" applyNumberFormat="1" applyFont="1" applyFill="1" applyBorder="1" applyAlignment="1">
      <alignment horizontal="right" vertical="center" shrinkToFit="1"/>
    </xf>
    <xf numFmtId="176" fontId="35" fillId="27" borderId="17" xfId="0" applyNumberFormat="1" applyFont="1" applyFill="1" applyBorder="1" applyAlignment="1">
      <alignment vertical="center" shrinkToFit="1"/>
    </xf>
    <xf numFmtId="0" fontId="35" fillId="2" borderId="4" xfId="0" applyNumberFormat="1" applyFont="1" applyFill="1" applyBorder="1" applyAlignment="1">
      <alignment horizontal="center" vertical="center"/>
    </xf>
    <xf numFmtId="176" fontId="35" fillId="27" borderId="50" xfId="0" applyNumberFormat="1" applyFont="1" applyFill="1" applyBorder="1">
      <alignment vertical="center"/>
    </xf>
    <xf numFmtId="180" fontId="35" fillId="28" borderId="4" xfId="0" applyNumberFormat="1" applyFont="1" applyFill="1" applyBorder="1" applyAlignment="1">
      <alignment horizontal="right" vertical="center"/>
    </xf>
    <xf numFmtId="0" fontId="6" fillId="2" borderId="53" xfId="2" applyFont="1" applyFill="1" applyBorder="1" applyAlignment="1" applyProtection="1">
      <alignment horizontal="center" vertical="center"/>
    </xf>
    <xf numFmtId="0" fontId="6" fillId="2" borderId="30" xfId="2" applyFont="1" applyFill="1" applyBorder="1" applyAlignment="1" applyProtection="1">
      <alignment horizontal="center" vertical="center"/>
    </xf>
    <xf numFmtId="0" fontId="6" fillId="2" borderId="47" xfId="2" applyFont="1" applyFill="1" applyBorder="1" applyAlignment="1" applyProtection="1">
      <alignment horizontal="center" vertical="center"/>
    </xf>
    <xf numFmtId="0" fontId="6" fillId="2" borderId="17" xfId="2" applyFont="1" applyFill="1" applyBorder="1" applyAlignment="1" applyProtection="1">
      <alignment horizontal="center" vertical="center"/>
    </xf>
    <xf numFmtId="0" fontId="6" fillId="2" borderId="49" xfId="2" applyFont="1" applyFill="1" applyBorder="1" applyAlignment="1" applyProtection="1">
      <alignment horizontal="center" vertical="center"/>
    </xf>
    <xf numFmtId="0" fontId="35" fillId="28" borderId="33" xfId="0" applyFont="1" applyFill="1" applyBorder="1" applyAlignment="1">
      <alignment horizontal="left" vertical="center" wrapText="1" shrinkToFit="1"/>
    </xf>
    <xf numFmtId="0" fontId="6" fillId="28" borderId="34" xfId="2" applyFont="1" applyFill="1" applyBorder="1" applyAlignment="1" applyProtection="1">
      <alignment horizontal="center" vertical="center" wrapText="1"/>
    </xf>
    <xf numFmtId="0" fontId="6" fillId="28" borderId="2" xfId="2" applyFont="1" applyFill="1" applyBorder="1" applyAlignment="1" applyProtection="1">
      <alignment horizontal="center" vertical="center" wrapText="1"/>
    </xf>
    <xf numFmtId="0" fontId="6" fillId="28" borderId="4" xfId="2" applyFont="1" applyFill="1" applyBorder="1" applyAlignment="1" applyProtection="1">
      <alignment horizontal="center" vertical="center" wrapText="1"/>
    </xf>
    <xf numFmtId="176" fontId="35" fillId="2" borderId="47" xfId="0" applyNumberFormat="1" applyFont="1" applyFill="1" applyBorder="1">
      <alignment vertical="center"/>
    </xf>
    <xf numFmtId="176" fontId="35" fillId="2" borderId="30" xfId="0" applyNumberFormat="1" applyFont="1" applyFill="1" applyBorder="1">
      <alignment vertical="center"/>
    </xf>
    <xf numFmtId="176" fontId="35" fillId="2" borderId="49" xfId="0" applyNumberFormat="1" applyFont="1" applyFill="1" applyBorder="1">
      <alignment vertical="center"/>
    </xf>
    <xf numFmtId="176" fontId="35" fillId="2" borderId="1" xfId="0" applyNumberFormat="1" applyFont="1" applyFill="1" applyBorder="1">
      <alignment vertical="center"/>
    </xf>
    <xf numFmtId="191" fontId="35" fillId="28" borderId="48" xfId="0" applyNumberFormat="1" applyFont="1" applyFill="1" applyBorder="1">
      <alignment vertical="center"/>
    </xf>
    <xf numFmtId="192" fontId="35" fillId="28" borderId="47" xfId="88" applyNumberFormat="1" applyFont="1" applyFill="1" applyBorder="1">
      <alignment vertical="center"/>
    </xf>
    <xf numFmtId="192" fontId="35" fillId="28" borderId="30" xfId="88" applyNumberFormat="1" applyFont="1" applyFill="1" applyBorder="1">
      <alignment vertical="center"/>
    </xf>
    <xf numFmtId="192" fontId="35" fillId="28" borderId="50" xfId="88" applyNumberFormat="1" applyFont="1" applyFill="1" applyBorder="1">
      <alignment vertical="center"/>
    </xf>
    <xf numFmtId="0" fontId="42" fillId="2" borderId="0" xfId="0" applyFont="1" applyFill="1">
      <alignment vertical="center"/>
    </xf>
    <xf numFmtId="0" fontId="35" fillId="2" borderId="43" xfId="0" applyNumberFormat="1" applyFont="1" applyFill="1" applyBorder="1" applyAlignment="1">
      <alignment horizontal="center" vertical="center"/>
    </xf>
    <xf numFmtId="0" fontId="35" fillId="2" borderId="104" xfId="0" applyNumberFormat="1" applyFont="1" applyFill="1" applyBorder="1">
      <alignment vertical="center"/>
    </xf>
    <xf numFmtId="0" fontId="35" fillId="2" borderId="31" xfId="0" applyNumberFormat="1" applyFont="1" applyFill="1" applyBorder="1" applyAlignment="1">
      <alignment horizontal="center" vertical="center"/>
    </xf>
    <xf numFmtId="49" fontId="35" fillId="2" borderId="104" xfId="0" applyNumberFormat="1" applyFont="1" applyFill="1" applyBorder="1">
      <alignment vertical="center"/>
    </xf>
    <xf numFmtId="0" fontId="35" fillId="2" borderId="46" xfId="0" applyNumberFormat="1" applyFont="1" applyFill="1" applyBorder="1" applyAlignment="1">
      <alignment horizontal="center" vertical="center"/>
    </xf>
    <xf numFmtId="49" fontId="35" fillId="2" borderId="33" xfId="0" applyNumberFormat="1" applyFont="1" applyFill="1" applyBorder="1" applyAlignment="1">
      <alignment vertical="center" shrinkToFit="1"/>
    </xf>
    <xf numFmtId="0" fontId="44" fillId="2" borderId="0" xfId="0" applyFont="1" applyFill="1">
      <alignment vertical="center"/>
    </xf>
    <xf numFmtId="0" fontId="6" fillId="2" borderId="0" xfId="2" applyFont="1" applyFill="1" applyBorder="1" applyAlignment="1" applyProtection="1">
      <alignment horizontal="right" vertical="center"/>
    </xf>
    <xf numFmtId="0" fontId="42" fillId="2" borderId="209" xfId="2" applyFont="1" applyFill="1" applyBorder="1" applyAlignment="1">
      <alignment horizontal="right" vertical="center" wrapText="1"/>
    </xf>
    <xf numFmtId="190" fontId="42" fillId="27" borderId="210" xfId="2" applyNumberFormat="1" applyFont="1" applyFill="1" applyBorder="1" applyAlignment="1" applyProtection="1">
      <alignment vertical="center"/>
    </xf>
    <xf numFmtId="190" fontId="42" fillId="27" borderId="211" xfId="2" applyNumberFormat="1" applyFont="1" applyFill="1" applyBorder="1" applyAlignment="1" applyProtection="1">
      <alignment vertical="center"/>
    </xf>
    <xf numFmtId="190" fontId="42" fillId="27" borderId="212" xfId="2" applyNumberFormat="1" applyFont="1" applyFill="1" applyBorder="1" applyAlignment="1" applyProtection="1">
      <alignment vertical="center"/>
    </xf>
    <xf numFmtId="176" fontId="42" fillId="28" borderId="41" xfId="2" applyNumberFormat="1" applyFont="1" applyFill="1" applyBorder="1" applyAlignment="1" applyProtection="1">
      <alignment vertical="center"/>
    </xf>
    <xf numFmtId="176" fontId="42" fillId="28" borderId="39" xfId="2" applyNumberFormat="1" applyFont="1" applyFill="1" applyBorder="1" applyAlignment="1" applyProtection="1">
      <alignment vertical="center"/>
    </xf>
    <xf numFmtId="176" fontId="42" fillId="28" borderId="7" xfId="2" applyNumberFormat="1" applyFont="1" applyFill="1" applyBorder="1" applyAlignment="1" applyProtection="1">
      <alignment vertical="center"/>
    </xf>
    <xf numFmtId="176" fontId="42" fillId="28" borderId="73" xfId="2" applyNumberFormat="1" applyFont="1" applyFill="1" applyBorder="1" applyAlignment="1" applyProtection="1">
      <alignment vertical="center"/>
    </xf>
    <xf numFmtId="176" fontId="42" fillId="28" borderId="69" xfId="2" applyNumberFormat="1" applyFont="1" applyFill="1" applyBorder="1" applyAlignment="1" applyProtection="1">
      <alignment vertical="center"/>
    </xf>
    <xf numFmtId="176" fontId="42" fillId="28" borderId="165" xfId="2" applyNumberFormat="1" applyFont="1" applyFill="1" applyBorder="1" applyAlignment="1" applyProtection="1">
      <alignment vertical="center"/>
    </xf>
    <xf numFmtId="176" fontId="35" fillId="29" borderId="69" xfId="0" applyNumberFormat="1" applyFont="1" applyFill="1" applyBorder="1" applyAlignment="1">
      <alignment horizontal="right" vertical="center"/>
    </xf>
    <xf numFmtId="176" fontId="35" fillId="29" borderId="163" xfId="0" applyNumberFormat="1" applyFont="1" applyFill="1" applyBorder="1" applyAlignment="1">
      <alignment horizontal="right" vertical="center"/>
    </xf>
    <xf numFmtId="176" fontId="35" fillId="27" borderId="69" xfId="0" applyNumberFormat="1" applyFont="1" applyFill="1" applyBorder="1" applyAlignment="1">
      <alignment horizontal="right" vertical="center"/>
    </xf>
    <xf numFmtId="176" fontId="35" fillId="27" borderId="163" xfId="0" applyNumberFormat="1" applyFont="1" applyFill="1" applyBorder="1" applyAlignment="1">
      <alignment horizontal="right" vertical="center"/>
    </xf>
    <xf numFmtId="180" fontId="35" fillId="29" borderId="69" xfId="0" applyNumberFormat="1" applyFont="1" applyFill="1" applyBorder="1" applyAlignment="1">
      <alignment horizontal="right" vertical="center"/>
    </xf>
    <xf numFmtId="180" fontId="35" fillId="29" borderId="163" xfId="0" applyNumberFormat="1" applyFont="1" applyFill="1" applyBorder="1" applyAlignment="1">
      <alignment horizontal="right" vertical="center"/>
    </xf>
    <xf numFmtId="188" fontId="35" fillId="27" borderId="69" xfId="0" applyNumberFormat="1" applyFont="1" applyFill="1" applyBorder="1" applyAlignment="1">
      <alignment horizontal="right" vertical="center"/>
    </xf>
    <xf numFmtId="188" fontId="35" fillId="27" borderId="163" xfId="0" applyNumberFormat="1" applyFont="1" applyFill="1" applyBorder="1" applyAlignment="1">
      <alignment horizontal="right" vertical="center"/>
    </xf>
    <xf numFmtId="180" fontId="35" fillId="29" borderId="66" xfId="0" applyNumberFormat="1" applyFont="1" applyFill="1" applyBorder="1" applyAlignment="1">
      <alignment horizontal="right" vertical="center"/>
    </xf>
    <xf numFmtId="180" fontId="35" fillId="29" borderId="68" xfId="0" applyNumberFormat="1" applyFont="1" applyFill="1" applyBorder="1" applyAlignment="1">
      <alignment horizontal="right" vertical="center"/>
    </xf>
    <xf numFmtId="188" fontId="35" fillId="29" borderId="69" xfId="0" applyNumberFormat="1" applyFont="1" applyFill="1" applyBorder="1" applyAlignment="1">
      <alignment horizontal="right" vertical="center"/>
    </xf>
    <xf numFmtId="188" fontId="35" fillId="29" borderId="163" xfId="0" applyNumberFormat="1" applyFont="1" applyFill="1" applyBorder="1" applyAlignment="1">
      <alignment horizontal="right" vertical="center"/>
    </xf>
    <xf numFmtId="0" fontId="6" fillId="2" borderId="118" xfId="81" applyNumberFormat="1" applyFont="1" applyFill="1" applyBorder="1" applyAlignment="1" applyProtection="1">
      <alignment horizontal="center" vertical="center"/>
    </xf>
    <xf numFmtId="0" fontId="6" fillId="2" borderId="120" xfId="81" applyNumberFormat="1" applyFont="1" applyFill="1" applyBorder="1" applyAlignment="1" applyProtection="1">
      <alignment horizontal="center" vertical="center"/>
    </xf>
    <xf numFmtId="176" fontId="35" fillId="29" borderId="162" xfId="55" applyNumberFormat="1" applyFont="1" applyFill="1" applyBorder="1" applyAlignment="1">
      <alignment horizontal="right" vertical="center"/>
    </xf>
    <xf numFmtId="180" fontId="35" fillId="29" borderId="122" xfId="55" applyNumberFormat="1" applyFont="1" applyFill="1" applyBorder="1" applyAlignment="1">
      <alignment horizontal="right" vertical="center"/>
    </xf>
    <xf numFmtId="176" fontId="35" fillId="29" borderId="123" xfId="55" applyNumberFormat="1" applyFont="1" applyFill="1" applyBorder="1" applyAlignment="1">
      <alignment horizontal="right" vertical="center"/>
    </xf>
    <xf numFmtId="180" fontId="35" fillId="29" borderId="124" xfId="55" applyNumberFormat="1" applyFont="1" applyFill="1" applyBorder="1" applyAlignment="1">
      <alignment horizontal="right" vertical="center"/>
    </xf>
    <xf numFmtId="0" fontId="35" fillId="2" borderId="6" xfId="0" applyNumberFormat="1" applyFont="1" applyFill="1" applyBorder="1" applyAlignment="1">
      <alignment vertical="top"/>
    </xf>
    <xf numFmtId="0" fontId="35" fillId="2" borderId="7" xfId="0" applyNumberFormat="1" applyFont="1" applyFill="1" applyBorder="1" applyAlignment="1">
      <alignment vertical="top"/>
    </xf>
    <xf numFmtId="176" fontId="35" fillId="29" borderId="9" xfId="0" applyNumberFormat="1" applyFont="1" applyFill="1" applyBorder="1" applyAlignment="1">
      <alignment horizontal="right" vertical="center" shrinkToFit="1"/>
    </xf>
    <xf numFmtId="176" fontId="35" fillId="29" borderId="11" xfId="0" applyNumberFormat="1" applyFont="1" applyFill="1" applyBorder="1" applyAlignment="1">
      <alignment horizontal="right" vertical="center" shrinkToFit="1"/>
    </xf>
    <xf numFmtId="176" fontId="35" fillId="29" borderId="69" xfId="0" applyNumberFormat="1" applyFont="1" applyFill="1" applyBorder="1" applyAlignment="1">
      <alignment horizontal="right" vertical="center" shrinkToFit="1"/>
    </xf>
    <xf numFmtId="176" fontId="35" fillId="29" borderId="163" xfId="0" applyNumberFormat="1" applyFont="1" applyFill="1" applyBorder="1" applyAlignment="1">
      <alignment horizontal="right" vertical="center" shrinkToFit="1"/>
    </xf>
    <xf numFmtId="176" fontId="35" fillId="29" borderId="69" xfId="0" applyNumberFormat="1" applyFont="1" applyFill="1" applyBorder="1">
      <alignment vertical="center"/>
    </xf>
    <xf numFmtId="176" fontId="35" fillId="29" borderId="163" xfId="0" applyNumberFormat="1" applyFont="1" applyFill="1" applyBorder="1">
      <alignment vertical="center"/>
    </xf>
    <xf numFmtId="176" fontId="35" fillId="27" borderId="69" xfId="0" applyNumberFormat="1" applyFont="1" applyFill="1" applyBorder="1" applyAlignment="1">
      <alignment horizontal="right" vertical="center" shrinkToFit="1"/>
    </xf>
    <xf numFmtId="176" fontId="35" fillId="27" borderId="163" xfId="0" applyNumberFormat="1" applyFont="1" applyFill="1" applyBorder="1" applyAlignment="1">
      <alignment horizontal="right" vertical="center" shrinkToFit="1"/>
    </xf>
    <xf numFmtId="176" fontId="28" fillId="28" borderId="161" xfId="0" applyNumberFormat="1" applyFont="1" applyFill="1" applyBorder="1">
      <alignment vertical="center"/>
    </xf>
    <xf numFmtId="176" fontId="28" fillId="28" borderId="161" xfId="0" applyNumberFormat="1" applyFont="1" applyFill="1" applyBorder="1" applyAlignment="1">
      <alignment horizontal="right" vertical="center" shrinkToFit="1"/>
    </xf>
    <xf numFmtId="176" fontId="28" fillId="28" borderId="162" xfId="0" applyNumberFormat="1" applyFont="1" applyFill="1" applyBorder="1" applyAlignment="1">
      <alignment horizontal="right" vertical="center" shrinkToFit="1"/>
    </xf>
    <xf numFmtId="176" fontId="35" fillId="28" borderId="69" xfId="0" applyNumberFormat="1" applyFont="1" applyFill="1" applyBorder="1" applyAlignment="1">
      <alignment horizontal="right" vertical="center" shrinkToFit="1"/>
    </xf>
    <xf numFmtId="176" fontId="35" fillId="28" borderId="163" xfId="0" applyNumberFormat="1" applyFont="1" applyFill="1" applyBorder="1" applyAlignment="1">
      <alignment horizontal="right" vertical="center" shrinkToFit="1"/>
    </xf>
    <xf numFmtId="0" fontId="26" fillId="0" borderId="22" xfId="81" applyNumberFormat="1" applyFont="1" applyFill="1" applyBorder="1" applyAlignment="1" applyProtection="1">
      <alignment vertical="center"/>
    </xf>
    <xf numFmtId="0" fontId="26" fillId="27" borderId="164" xfId="81" applyNumberFormat="1" applyFont="1" applyFill="1" applyBorder="1" applyAlignment="1" applyProtection="1">
      <alignment vertical="center"/>
    </xf>
    <xf numFmtId="176" fontId="28" fillId="27" borderId="161" xfId="0" applyNumberFormat="1" applyFont="1" applyFill="1" applyBorder="1" applyAlignment="1">
      <alignment vertical="center" shrinkToFit="1"/>
    </xf>
    <xf numFmtId="0" fontId="26" fillId="0" borderId="166" xfId="81" applyNumberFormat="1" applyFont="1" applyFill="1" applyBorder="1" applyAlignment="1" applyProtection="1">
      <alignment vertical="center"/>
    </xf>
    <xf numFmtId="0" fontId="26" fillId="0" borderId="98" xfId="81" applyNumberFormat="1" applyFont="1" applyFill="1" applyBorder="1" applyAlignment="1" applyProtection="1">
      <alignment vertical="center"/>
    </xf>
    <xf numFmtId="176" fontId="28" fillId="28" borderId="131" xfId="0" applyNumberFormat="1" applyFont="1" applyFill="1" applyBorder="1">
      <alignment vertical="center"/>
    </xf>
    <xf numFmtId="0" fontId="26" fillId="0" borderId="29" xfId="81" applyNumberFormat="1" applyFont="1" applyFill="1" applyBorder="1" applyAlignment="1" applyProtection="1">
      <alignment vertical="center"/>
    </xf>
    <xf numFmtId="0" fontId="26" fillId="0" borderId="9" xfId="81" applyNumberFormat="1" applyFont="1" applyFill="1" applyBorder="1" applyAlignment="1" applyProtection="1">
      <alignment vertical="center"/>
    </xf>
    <xf numFmtId="0" fontId="35" fillId="27" borderId="98" xfId="0" applyNumberFormat="1" applyFont="1" applyFill="1" applyBorder="1">
      <alignment vertical="center"/>
    </xf>
    <xf numFmtId="176" fontId="35" fillId="28" borderId="131" xfId="0" applyNumberFormat="1" applyFont="1" applyFill="1" applyBorder="1" applyAlignment="1">
      <alignment horizontal="right" vertical="center" shrinkToFit="1"/>
    </xf>
    <xf numFmtId="176" fontId="35" fillId="28" borderId="121" xfId="0" applyNumberFormat="1" applyFont="1" applyFill="1" applyBorder="1" applyAlignment="1">
      <alignment horizontal="right" vertical="center" shrinkToFit="1"/>
    </xf>
    <xf numFmtId="0" fontId="35" fillId="2" borderId="0" xfId="0" applyNumberFormat="1" applyFont="1" applyFill="1">
      <alignment vertical="center"/>
    </xf>
    <xf numFmtId="176" fontId="6" fillId="28" borderId="168" xfId="0" applyNumberFormat="1" applyFont="1" applyFill="1" applyBorder="1" applyAlignment="1">
      <alignment horizontal="right" vertical="center" shrinkToFit="1"/>
    </xf>
    <xf numFmtId="176" fontId="6" fillId="28" borderId="169" xfId="0" applyNumberFormat="1" applyFont="1" applyFill="1" applyBorder="1" applyAlignment="1">
      <alignment horizontal="right" vertical="center" shrinkToFit="1"/>
    </xf>
    <xf numFmtId="187" fontId="6" fillId="27" borderId="169" xfId="0" applyNumberFormat="1" applyFont="1" applyFill="1" applyBorder="1" applyAlignment="1">
      <alignment horizontal="right" vertical="center" shrinkToFit="1"/>
    </xf>
    <xf numFmtId="176" fontId="6" fillId="27" borderId="169" xfId="0" applyNumberFormat="1" applyFont="1" applyFill="1" applyBorder="1" applyAlignment="1">
      <alignment horizontal="right" vertical="center" shrinkToFit="1"/>
    </xf>
    <xf numFmtId="10" fontId="6" fillId="28" borderId="169" xfId="0" applyNumberFormat="1" applyFont="1" applyFill="1" applyBorder="1" applyAlignment="1">
      <alignment vertical="center" shrinkToFit="1"/>
    </xf>
    <xf numFmtId="0" fontId="6" fillId="2" borderId="185" xfId="0" applyNumberFormat="1" applyFont="1" applyFill="1" applyBorder="1">
      <alignment vertical="center"/>
    </xf>
    <xf numFmtId="184" fontId="6" fillId="28" borderId="169" xfId="0" applyNumberFormat="1" applyFont="1" applyFill="1" applyBorder="1" applyAlignment="1">
      <alignment vertical="center" shrinkToFit="1"/>
    </xf>
    <xf numFmtId="0" fontId="6" fillId="2" borderId="29" xfId="0" applyNumberFormat="1" applyFont="1" applyFill="1" applyBorder="1">
      <alignment vertical="center"/>
    </xf>
    <xf numFmtId="0" fontId="6" fillId="2" borderId="192" xfId="0" applyNumberFormat="1" applyFont="1" applyFill="1" applyBorder="1">
      <alignment vertical="center"/>
    </xf>
    <xf numFmtId="0" fontId="6" fillId="2" borderId="193" xfId="0" applyNumberFormat="1" applyFont="1" applyFill="1" applyBorder="1">
      <alignment vertical="center"/>
    </xf>
    <xf numFmtId="184" fontId="6" fillId="0" borderId="195" xfId="0" applyNumberFormat="1" applyFont="1" applyFill="1" applyBorder="1" applyAlignment="1">
      <alignment vertical="center" shrinkToFit="1"/>
    </xf>
    <xf numFmtId="184" fontId="6" fillId="0" borderId="194" xfId="0" applyNumberFormat="1" applyFont="1" applyFill="1" applyBorder="1" applyAlignment="1">
      <alignment vertical="center" shrinkToFit="1"/>
    </xf>
    <xf numFmtId="0" fontId="6" fillId="2" borderId="9" xfId="0" applyNumberFormat="1" applyFont="1" applyFill="1" applyBorder="1">
      <alignment vertical="center"/>
    </xf>
    <xf numFmtId="176" fontId="35" fillId="27" borderId="75" xfId="0" applyNumberFormat="1" applyFont="1" applyFill="1" applyBorder="1" applyAlignment="1">
      <alignment horizontal="right" vertical="center" shrinkToFit="1"/>
    </xf>
    <xf numFmtId="176" fontId="35" fillId="27" borderId="78" xfId="0" applyNumberFormat="1" applyFont="1" applyFill="1" applyBorder="1" applyAlignment="1">
      <alignment horizontal="right" vertical="center" shrinkToFit="1"/>
    </xf>
    <xf numFmtId="176" fontId="35" fillId="29" borderId="2" xfId="0" applyNumberFormat="1" applyFont="1" applyFill="1" applyBorder="1" applyAlignment="1">
      <alignment horizontal="right" vertical="center" shrinkToFit="1"/>
    </xf>
    <xf numFmtId="176" fontId="35" fillId="29" borderId="4" xfId="0" applyNumberFormat="1" applyFont="1" applyFill="1" applyBorder="1" applyAlignment="1">
      <alignment horizontal="right" vertical="center" shrinkToFit="1"/>
    </xf>
    <xf numFmtId="10" fontId="35" fillId="27" borderId="30" xfId="0" applyNumberFormat="1" applyFont="1" applyFill="1" applyBorder="1" applyAlignment="1">
      <alignment horizontal="right" vertical="center" shrinkToFit="1"/>
    </xf>
    <xf numFmtId="10" fontId="35" fillId="27" borderId="50" xfId="0" applyNumberFormat="1" applyFont="1" applyFill="1" applyBorder="1" applyAlignment="1">
      <alignment horizontal="right" vertical="center" shrinkToFit="1"/>
    </xf>
    <xf numFmtId="176" fontId="35" fillId="29" borderId="39" xfId="0" applyNumberFormat="1" applyFont="1" applyFill="1" applyBorder="1">
      <alignment vertical="center"/>
    </xf>
    <xf numFmtId="176" fontId="35" fillId="29" borderId="42" xfId="0" applyNumberFormat="1" applyFont="1" applyFill="1" applyBorder="1">
      <alignment vertical="center"/>
    </xf>
    <xf numFmtId="176" fontId="35" fillId="27" borderId="163" xfId="0" applyNumberFormat="1" applyFont="1" applyFill="1" applyBorder="1">
      <alignment vertical="center"/>
    </xf>
    <xf numFmtId="176" fontId="35" fillId="28" borderId="69" xfId="0" applyNumberFormat="1" applyFont="1" applyFill="1" applyBorder="1">
      <alignment vertical="center"/>
    </xf>
    <xf numFmtId="176" fontId="35" fillId="28" borderId="163" xfId="0" applyNumberFormat="1" applyFont="1" applyFill="1" applyBorder="1">
      <alignment vertical="center"/>
    </xf>
    <xf numFmtId="0" fontId="35" fillId="2" borderId="69" xfId="0" applyNumberFormat="1" applyFont="1" applyFill="1" applyBorder="1">
      <alignment vertical="center"/>
    </xf>
    <xf numFmtId="0" fontId="35" fillId="2" borderId="163" xfId="0" applyNumberFormat="1" applyFont="1" applyFill="1" applyBorder="1">
      <alignment vertical="center"/>
    </xf>
    <xf numFmtId="180" fontId="35" fillId="29" borderId="69" xfId="0" applyNumberFormat="1" applyFont="1" applyFill="1" applyBorder="1">
      <alignment vertical="center"/>
    </xf>
    <xf numFmtId="180" fontId="35" fillId="29" borderId="163" xfId="0" applyNumberFormat="1" applyFont="1" applyFill="1" applyBorder="1">
      <alignment vertical="center"/>
    </xf>
    <xf numFmtId="176" fontId="35" fillId="2" borderId="69" xfId="0" applyNumberFormat="1" applyFont="1" applyFill="1" applyBorder="1">
      <alignment vertical="center"/>
    </xf>
    <xf numFmtId="176" fontId="35" fillId="2" borderId="163" xfId="0" applyNumberFormat="1" applyFont="1" applyFill="1" applyBorder="1">
      <alignment vertical="center"/>
    </xf>
    <xf numFmtId="176" fontId="35" fillId="29" borderId="75" xfId="0" applyNumberFormat="1" applyFont="1" applyFill="1" applyBorder="1">
      <alignment vertical="center"/>
    </xf>
    <xf numFmtId="176" fontId="35" fillId="29" borderId="78" xfId="0" applyNumberFormat="1" applyFont="1" applyFill="1" applyBorder="1">
      <alignment vertical="center"/>
    </xf>
    <xf numFmtId="176" fontId="35" fillId="27" borderId="78" xfId="0" applyNumberFormat="1" applyFont="1" applyFill="1" applyBorder="1">
      <alignment vertical="center"/>
    </xf>
    <xf numFmtId="176" fontId="35" fillId="29" borderId="66" xfId="0" applyNumberFormat="1" applyFont="1" applyFill="1" applyBorder="1">
      <alignment vertical="center"/>
    </xf>
    <xf numFmtId="176" fontId="35" fillId="29" borderId="68" xfId="0" applyNumberFormat="1" applyFont="1" applyFill="1" applyBorder="1">
      <alignment vertical="center"/>
    </xf>
    <xf numFmtId="0" fontId="35" fillId="2" borderId="0" xfId="0" applyNumberFormat="1" applyFont="1" applyFill="1" applyAlignment="1">
      <alignment vertical="top"/>
    </xf>
    <xf numFmtId="0" fontId="35" fillId="29" borderId="39" xfId="0" applyNumberFormat="1" applyFont="1" applyFill="1" applyBorder="1" applyAlignment="1">
      <alignment horizontal="right" vertical="center"/>
    </xf>
    <xf numFmtId="0" fontId="35" fillId="29" borderId="42" xfId="0" applyNumberFormat="1" applyFont="1" applyFill="1" applyBorder="1" applyAlignment="1">
      <alignment horizontal="right" vertical="center"/>
    </xf>
    <xf numFmtId="186" fontId="35" fillId="27" borderId="69" xfId="0" applyNumberFormat="1" applyFont="1" applyFill="1" applyBorder="1" applyAlignment="1">
      <alignment horizontal="right" vertical="center"/>
    </xf>
    <xf numFmtId="186" fontId="35" fillId="27" borderId="163" xfId="0" applyNumberFormat="1" applyFont="1" applyFill="1" applyBorder="1" applyAlignment="1">
      <alignment horizontal="right" vertical="center"/>
    </xf>
    <xf numFmtId="186" fontId="35" fillId="30" borderId="69" xfId="0" applyNumberFormat="1" applyFont="1" applyFill="1" applyBorder="1" applyAlignment="1">
      <alignment horizontal="right" vertical="center"/>
    </xf>
    <xf numFmtId="186" fontId="35" fillId="30" borderId="163" xfId="0" applyNumberFormat="1" applyFont="1" applyFill="1" applyBorder="1" applyAlignment="1">
      <alignment horizontal="right" vertical="center"/>
    </xf>
    <xf numFmtId="176" fontId="35" fillId="27" borderId="75" xfId="0" applyNumberFormat="1" applyFont="1" applyFill="1" applyBorder="1" applyAlignment="1">
      <alignment horizontal="right" vertical="center"/>
    </xf>
    <xf numFmtId="176" fontId="35" fillId="27" borderId="78" xfId="0" applyNumberFormat="1" applyFont="1" applyFill="1" applyBorder="1" applyAlignment="1">
      <alignment horizontal="right" vertical="center"/>
    </xf>
    <xf numFmtId="176" fontId="35" fillId="27" borderId="29" xfId="0" applyNumberFormat="1" applyFont="1" applyFill="1" applyBorder="1">
      <alignment vertical="center"/>
    </xf>
    <xf numFmtId="176" fontId="35" fillId="27" borderId="150" xfId="0" applyNumberFormat="1" applyFont="1" applyFill="1" applyBorder="1">
      <alignment vertical="center"/>
    </xf>
    <xf numFmtId="176" fontId="35" fillId="27" borderId="66" xfId="0" applyNumberFormat="1" applyFont="1" applyFill="1" applyBorder="1" applyAlignment="1">
      <alignment horizontal="right" vertical="center"/>
    </xf>
    <xf numFmtId="176" fontId="35" fillId="27" borderId="68" xfId="0" applyNumberFormat="1" applyFont="1" applyFill="1" applyBorder="1" applyAlignment="1">
      <alignment horizontal="right" vertical="center"/>
    </xf>
    <xf numFmtId="185" fontId="35" fillId="2" borderId="69" xfId="0" applyNumberFormat="1" applyFont="1" applyFill="1" applyBorder="1" applyAlignment="1">
      <alignment horizontal="right" vertical="center"/>
    </xf>
    <xf numFmtId="185" fontId="35" fillId="2" borderId="163" xfId="0" applyNumberFormat="1" applyFont="1" applyFill="1" applyBorder="1" applyAlignment="1">
      <alignment horizontal="right" vertical="center"/>
    </xf>
    <xf numFmtId="176" fontId="35" fillId="2" borderId="69" xfId="0" applyNumberFormat="1" applyFont="1" applyFill="1" applyBorder="1" applyAlignment="1">
      <alignment horizontal="right" vertical="center"/>
    </xf>
    <xf numFmtId="176" fontId="35" fillId="2" borderId="163" xfId="0" applyNumberFormat="1" applyFont="1" applyFill="1" applyBorder="1" applyAlignment="1">
      <alignment horizontal="right" vertical="center"/>
    </xf>
    <xf numFmtId="176" fontId="35" fillId="2" borderId="66" xfId="0" applyNumberFormat="1" applyFont="1" applyFill="1" applyBorder="1" applyAlignment="1">
      <alignment horizontal="right" vertical="center"/>
    </xf>
    <xf numFmtId="176" fontId="35" fillId="2" borderId="68" xfId="0" applyNumberFormat="1" applyFont="1" applyFill="1" applyBorder="1" applyAlignment="1">
      <alignment horizontal="right" vertical="center"/>
    </xf>
    <xf numFmtId="0" fontId="31" fillId="2" borderId="0" xfId="0" applyFont="1" applyFill="1">
      <alignment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106" xfId="2" applyFont="1" applyFill="1" applyBorder="1" applyAlignment="1">
      <alignment horizontal="left" vertical="center"/>
    </xf>
    <xf numFmtId="182" fontId="31" fillId="28" borderId="73" xfId="2" applyNumberFormat="1" applyFont="1" applyFill="1" applyBorder="1" applyAlignment="1" applyProtection="1">
      <alignment vertical="center"/>
    </xf>
    <xf numFmtId="182" fontId="31" fillId="28" borderId="69" xfId="2" applyNumberFormat="1" applyFont="1" applyFill="1" applyBorder="1" applyAlignment="1" applyProtection="1">
      <alignment vertical="center"/>
    </xf>
    <xf numFmtId="182" fontId="31" fillId="28" borderId="163" xfId="2" applyNumberFormat="1" applyFont="1" applyFill="1" applyBorder="1" applyAlignment="1" applyProtection="1">
      <alignment vertical="center"/>
    </xf>
    <xf numFmtId="0" fontId="31" fillId="2" borderId="107" xfId="2" applyFont="1" applyFill="1" applyBorder="1" applyAlignment="1">
      <alignment horizontal="left" vertical="center"/>
    </xf>
    <xf numFmtId="182" fontId="31" fillId="28" borderId="67" xfId="2" applyNumberFormat="1" applyFont="1" applyFill="1" applyBorder="1" applyAlignment="1" applyProtection="1">
      <alignment vertical="center"/>
    </xf>
    <xf numFmtId="182" fontId="31" fillId="28" borderId="66" xfId="2" applyNumberFormat="1" applyFont="1" applyFill="1" applyBorder="1" applyAlignment="1" applyProtection="1">
      <alignment vertical="center"/>
    </xf>
    <xf numFmtId="182" fontId="31" fillId="28" borderId="68" xfId="2" applyNumberFormat="1" applyFont="1" applyFill="1" applyBorder="1" applyAlignment="1" applyProtection="1">
      <alignment vertical="center"/>
    </xf>
    <xf numFmtId="0" fontId="45" fillId="2" borderId="0" xfId="0" applyFont="1" applyFill="1">
      <alignment vertical="center"/>
    </xf>
    <xf numFmtId="0" fontId="6" fillId="2" borderId="37" xfId="3" applyFont="1" applyFill="1" applyBorder="1" applyAlignment="1" applyProtection="1">
      <alignment horizontal="left" vertical="top" wrapText="1"/>
    </xf>
    <xf numFmtId="183" fontId="31" fillId="28" borderId="214" xfId="2" applyNumberFormat="1" applyFont="1" applyFill="1" applyBorder="1" applyAlignment="1" applyProtection="1">
      <alignment vertical="center"/>
    </xf>
    <xf numFmtId="183" fontId="31" fillId="28" borderId="215" xfId="2" applyNumberFormat="1" applyFont="1" applyFill="1" applyBorder="1" applyAlignment="1" applyProtection="1">
      <alignment vertical="center"/>
    </xf>
    <xf numFmtId="183" fontId="31" fillId="28" borderId="216" xfId="2" applyNumberFormat="1" applyFont="1" applyFill="1" applyBorder="1" applyAlignment="1" applyProtection="1">
      <alignment vertical="center"/>
    </xf>
    <xf numFmtId="183" fontId="31" fillId="28" borderId="213" xfId="2" applyNumberFormat="1" applyFont="1" applyFill="1" applyBorder="1" applyAlignment="1" applyProtection="1">
      <alignment vertical="center"/>
    </xf>
    <xf numFmtId="10" fontId="31" fillId="28" borderId="111" xfId="2" applyNumberFormat="1" applyFont="1" applyFill="1" applyBorder="1" applyAlignment="1" applyProtection="1">
      <alignment vertical="center"/>
    </xf>
    <xf numFmtId="10" fontId="31" fillId="28" borderId="108" xfId="2" applyNumberFormat="1" applyFont="1" applyFill="1" applyBorder="1" applyAlignment="1" applyProtection="1">
      <alignment vertical="center"/>
    </xf>
    <xf numFmtId="10" fontId="31" fillId="28" borderId="110" xfId="2" applyNumberFormat="1" applyFont="1" applyFill="1" applyBorder="1" applyAlignment="1" applyProtection="1">
      <alignment vertical="center"/>
    </xf>
    <xf numFmtId="0" fontId="28" fillId="27" borderId="31" xfId="0" applyFont="1" applyFill="1" applyBorder="1" applyAlignment="1">
      <alignment horizontal="left" vertical="center" shrinkToFit="1"/>
    </xf>
    <xf numFmtId="0" fontId="28" fillId="27" borderId="54" xfId="0" applyFont="1" applyFill="1" applyBorder="1" applyAlignment="1">
      <alignment horizontal="left" vertical="center" shrinkToFit="1"/>
    </xf>
    <xf numFmtId="0" fontId="28" fillId="2" borderId="31" xfId="0" applyFont="1" applyFill="1" applyBorder="1" applyAlignment="1">
      <alignment horizontal="center" vertical="center"/>
    </xf>
    <xf numFmtId="0" fontId="28" fillId="2" borderId="54" xfId="0" applyFont="1" applyFill="1" applyBorder="1" applyAlignment="1">
      <alignment horizontal="center" vertical="center"/>
    </xf>
    <xf numFmtId="49" fontId="28" fillId="27" borderId="31" xfId="0" applyNumberFormat="1" applyFont="1" applyFill="1" applyBorder="1" applyAlignment="1">
      <alignment horizontal="left" vertical="center"/>
    </xf>
    <xf numFmtId="49" fontId="28" fillId="27" borderId="54" xfId="0" applyNumberFormat="1" applyFont="1" applyFill="1" applyBorder="1" applyAlignment="1">
      <alignment horizontal="left" vertical="center"/>
    </xf>
    <xf numFmtId="0" fontId="28" fillId="2" borderId="31" xfId="0" applyFont="1" applyFill="1" applyBorder="1" applyAlignment="1">
      <alignment horizontal="center" vertical="center" wrapText="1"/>
    </xf>
    <xf numFmtId="0" fontId="28" fillId="2" borderId="54" xfId="0" applyFont="1" applyFill="1" applyBorder="1" applyAlignment="1">
      <alignment horizontal="center" vertical="center" wrapText="1"/>
    </xf>
    <xf numFmtId="49" fontId="28" fillId="27" borderId="31" xfId="0" applyNumberFormat="1" applyFont="1" applyFill="1" applyBorder="1" applyAlignment="1">
      <alignment horizontal="left" vertical="center" shrinkToFit="1"/>
    </xf>
    <xf numFmtId="49" fontId="28" fillId="27" borderId="54" xfId="0" applyNumberFormat="1" applyFont="1" applyFill="1" applyBorder="1" applyAlignment="1">
      <alignment horizontal="left" vertical="center" shrinkToFit="1"/>
    </xf>
    <xf numFmtId="0" fontId="41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6" fillId="2" borderId="3" xfId="2" applyFont="1" applyFill="1" applyBorder="1" applyAlignment="1" applyProtection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3" fillId="2" borderId="41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0" fontId="33" fillId="2" borderId="67" xfId="0" applyFont="1" applyFill="1" applyBorder="1" applyAlignment="1">
      <alignment horizontal="center" vertical="center"/>
    </xf>
    <xf numFmtId="0" fontId="33" fillId="2" borderId="66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5" fillId="2" borderId="34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28" borderId="43" xfId="0" applyFont="1" applyFill="1" applyBorder="1" applyAlignment="1">
      <alignment horizontal="center" vertical="center"/>
    </xf>
    <xf numFmtId="0" fontId="35" fillId="28" borderId="51" xfId="0" applyFont="1" applyFill="1" applyBorder="1" applyAlignment="1">
      <alignment horizontal="center" vertical="center"/>
    </xf>
    <xf numFmtId="0" fontId="35" fillId="28" borderId="125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left" vertical="center"/>
    </xf>
    <xf numFmtId="0" fontId="35" fillId="2" borderId="32" xfId="0" applyFont="1" applyFill="1" applyBorder="1" applyAlignment="1">
      <alignment horizontal="left" vertical="center"/>
    </xf>
    <xf numFmtId="0" fontId="35" fillId="2" borderId="54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top" wrapText="1"/>
    </xf>
    <xf numFmtId="0" fontId="35" fillId="27" borderId="31" xfId="0" applyNumberFormat="1" applyFont="1" applyFill="1" applyBorder="1" applyAlignment="1">
      <alignment horizontal="left" vertical="center" shrinkToFit="1"/>
    </xf>
    <xf numFmtId="0" fontId="35" fillId="27" borderId="54" xfId="0" applyNumberFormat="1" applyFont="1" applyFill="1" applyBorder="1" applyAlignment="1">
      <alignment horizontal="left" vertical="center" shrinkToFit="1"/>
    </xf>
    <xf numFmtId="0" fontId="35" fillId="2" borderId="31" xfId="0" applyFont="1" applyFill="1" applyBorder="1" applyAlignment="1">
      <alignment horizontal="center" vertical="center"/>
    </xf>
    <xf numFmtId="0" fontId="35" fillId="2" borderId="54" xfId="0" applyFont="1" applyFill="1" applyBorder="1" applyAlignment="1">
      <alignment horizontal="center" vertical="center"/>
    </xf>
    <xf numFmtId="49" fontId="35" fillId="27" borderId="31" xfId="0" applyNumberFormat="1" applyFont="1" applyFill="1" applyBorder="1" applyAlignment="1">
      <alignment horizontal="left" vertical="center"/>
    </xf>
    <xf numFmtId="0" fontId="35" fillId="27" borderId="54" xfId="0" applyNumberFormat="1" applyFont="1" applyFill="1" applyBorder="1" applyAlignment="1">
      <alignment horizontal="left" vertical="center"/>
    </xf>
    <xf numFmtId="0" fontId="35" fillId="2" borderId="31" xfId="0" applyFont="1" applyFill="1" applyBorder="1" applyAlignment="1">
      <alignment horizontal="center" vertical="center" wrapText="1"/>
    </xf>
    <xf numFmtId="0" fontId="35" fillId="2" borderId="54" xfId="0" applyFont="1" applyFill="1" applyBorder="1" applyAlignment="1">
      <alignment horizontal="center" vertical="center" wrapText="1"/>
    </xf>
    <xf numFmtId="49" fontId="35" fillId="27" borderId="31" xfId="0" applyNumberFormat="1" applyFont="1" applyFill="1" applyBorder="1" applyAlignment="1">
      <alignment horizontal="left" vertical="center" shrinkToFit="1"/>
    </xf>
    <xf numFmtId="0" fontId="35" fillId="2" borderId="75" xfId="3" applyFont="1" applyFill="1" applyBorder="1" applyAlignment="1" applyProtection="1">
      <alignment horizontal="left" vertical="top" wrapText="1"/>
    </xf>
    <xf numFmtId="0" fontId="35" fillId="2" borderId="29" xfId="3" applyFont="1" applyFill="1" applyBorder="1" applyAlignment="1" applyProtection="1">
      <alignment horizontal="left" vertical="top" wrapText="1"/>
    </xf>
    <xf numFmtId="0" fontId="6" fillId="2" borderId="75" xfId="3" applyFont="1" applyFill="1" applyBorder="1" applyAlignment="1" applyProtection="1">
      <alignment horizontal="left" vertical="top" wrapText="1"/>
    </xf>
    <xf numFmtId="0" fontId="6" fillId="2" borderId="29" xfId="3" applyFont="1" applyFill="1" applyBorder="1" applyAlignment="1" applyProtection="1">
      <alignment horizontal="left" vertical="top" wrapText="1"/>
    </xf>
    <xf numFmtId="0" fontId="6" fillId="2" borderId="9" xfId="3" applyFont="1" applyFill="1" applyBorder="1" applyAlignment="1" applyProtection="1">
      <alignment horizontal="left" vertical="top" wrapText="1"/>
    </xf>
    <xf numFmtId="0" fontId="6" fillId="2" borderId="9" xfId="3" applyFont="1" applyFill="1" applyBorder="1" applyAlignment="1" applyProtection="1">
      <alignment horizontal="left" vertical="top"/>
    </xf>
    <xf numFmtId="0" fontId="35" fillId="0" borderId="75" xfId="3" applyFont="1" applyFill="1" applyBorder="1" applyAlignment="1" applyProtection="1">
      <alignment horizontal="left" vertical="top" wrapText="1"/>
    </xf>
    <xf numFmtId="0" fontId="35" fillId="0" borderId="9" xfId="3" applyFont="1" applyFill="1" applyBorder="1" applyAlignment="1" applyProtection="1">
      <alignment horizontal="left" vertical="top" wrapText="1"/>
    </xf>
    <xf numFmtId="0" fontId="35" fillId="2" borderId="9" xfId="3" applyFont="1" applyFill="1" applyBorder="1" applyAlignment="1" applyProtection="1">
      <alignment horizontal="left" vertical="top" wrapText="1"/>
    </xf>
    <xf numFmtId="0" fontId="35" fillId="0" borderId="30" xfId="3" applyFont="1" applyFill="1" applyBorder="1" applyAlignment="1" applyProtection="1">
      <alignment horizontal="left" vertical="top" wrapText="1"/>
    </xf>
    <xf numFmtId="0" fontId="35" fillId="0" borderId="29" xfId="3" applyFont="1" applyFill="1" applyBorder="1" applyAlignment="1" applyProtection="1">
      <alignment horizontal="left" vertical="top" wrapText="1"/>
    </xf>
    <xf numFmtId="0" fontId="35" fillId="26" borderId="31" xfId="0" applyFont="1" applyFill="1" applyBorder="1" applyAlignment="1">
      <alignment horizontal="center" vertical="center"/>
    </xf>
    <xf numFmtId="0" fontId="35" fillId="26" borderId="32" xfId="0" applyFont="1" applyFill="1" applyBorder="1" applyAlignment="1">
      <alignment horizontal="center" vertical="center"/>
    </xf>
    <xf numFmtId="0" fontId="35" fillId="26" borderId="54" xfId="0" applyFont="1" applyFill="1" applyBorder="1" applyAlignment="1">
      <alignment horizontal="center" vertical="center"/>
    </xf>
    <xf numFmtId="0" fontId="6" fillId="27" borderId="37" xfId="3" applyFont="1" applyFill="1" applyBorder="1" applyAlignment="1" applyProtection="1">
      <alignment horizontal="left" vertical="top" wrapText="1"/>
    </xf>
    <xf numFmtId="0" fontId="6" fillId="27" borderId="6" xfId="3" applyFont="1" applyFill="1" applyBorder="1" applyAlignment="1" applyProtection="1">
      <alignment horizontal="left" vertical="top" wrapText="1"/>
    </xf>
    <xf numFmtId="0" fontId="6" fillId="27" borderId="7" xfId="3" applyFont="1" applyFill="1" applyBorder="1" applyAlignment="1" applyProtection="1">
      <alignment horizontal="left" vertical="top" wrapText="1"/>
    </xf>
    <xf numFmtId="0" fontId="35" fillId="27" borderId="37" xfId="3" applyFont="1" applyFill="1" applyBorder="1" applyAlignment="1" applyProtection="1">
      <alignment horizontal="left" vertical="top" wrapText="1"/>
    </xf>
    <xf numFmtId="0" fontId="35" fillId="27" borderId="6" xfId="3" applyFont="1" applyFill="1" applyBorder="1" applyAlignment="1" applyProtection="1">
      <alignment horizontal="left" vertical="top" wrapText="1"/>
    </xf>
    <xf numFmtId="0" fontId="35" fillId="27" borderId="7" xfId="3" applyFont="1" applyFill="1" applyBorder="1" applyAlignment="1" applyProtection="1">
      <alignment horizontal="left" vertical="top" wrapText="1"/>
    </xf>
    <xf numFmtId="0" fontId="35" fillId="27" borderId="96" xfId="3" applyFont="1" applyFill="1" applyBorder="1" applyAlignment="1" applyProtection="1">
      <alignment horizontal="left" vertical="top" wrapText="1"/>
    </xf>
    <xf numFmtId="0" fontId="35" fillId="27" borderId="94" xfId="3" applyFont="1" applyFill="1" applyBorder="1" applyAlignment="1" applyProtection="1">
      <alignment horizontal="left" vertical="top" wrapText="1"/>
    </xf>
    <xf numFmtId="0" fontId="35" fillId="27" borderId="19" xfId="3" applyFont="1" applyFill="1" applyBorder="1" applyAlignment="1" applyProtection="1">
      <alignment horizontal="left" vertical="top" wrapText="1"/>
    </xf>
    <xf numFmtId="0" fontId="35" fillId="27" borderId="37" xfId="0" applyFont="1" applyFill="1" applyBorder="1" applyAlignment="1">
      <alignment horizontal="left" vertical="center"/>
    </xf>
    <xf numFmtId="0" fontId="35" fillId="27" borderId="6" xfId="0" applyFont="1" applyFill="1" applyBorder="1" applyAlignment="1">
      <alignment horizontal="left" vertical="center"/>
    </xf>
    <xf numFmtId="0" fontId="35" fillId="27" borderId="7" xfId="0" applyFont="1" applyFill="1" applyBorder="1" applyAlignment="1">
      <alignment horizontal="left" vertical="center"/>
    </xf>
    <xf numFmtId="0" fontId="35" fillId="27" borderId="95" xfId="0" applyFont="1" applyFill="1" applyBorder="1" applyAlignment="1">
      <alignment horizontal="left" vertical="center"/>
    </xf>
    <xf numFmtId="0" fontId="35" fillId="27" borderId="98" xfId="0" applyFont="1" applyFill="1" applyBorder="1" applyAlignment="1">
      <alignment horizontal="left" vertical="center"/>
    </xf>
    <xf numFmtId="0" fontId="35" fillId="27" borderId="28" xfId="0" applyFont="1" applyFill="1" applyBorder="1" applyAlignment="1">
      <alignment horizontal="left" vertical="center"/>
    </xf>
    <xf numFmtId="0" fontId="35" fillId="27" borderId="96" xfId="0" applyFont="1" applyFill="1" applyBorder="1" applyAlignment="1">
      <alignment horizontal="left" vertical="center"/>
    </xf>
    <xf numFmtId="0" fontId="35" fillId="27" borderId="94" xfId="0" applyFont="1" applyFill="1" applyBorder="1" applyAlignment="1">
      <alignment horizontal="left" vertical="center"/>
    </xf>
    <xf numFmtId="0" fontId="35" fillId="27" borderId="19" xfId="0" applyFont="1" applyFill="1" applyBorder="1" applyAlignment="1">
      <alignment horizontal="left" vertical="center"/>
    </xf>
    <xf numFmtId="0" fontId="35" fillId="27" borderId="95" xfId="3" applyFont="1" applyFill="1" applyBorder="1" applyAlignment="1" applyProtection="1">
      <alignment horizontal="left" vertical="top" wrapText="1"/>
    </xf>
    <xf numFmtId="0" fontId="35" fillId="27" borderId="98" xfId="3" applyFont="1" applyFill="1" applyBorder="1" applyAlignment="1" applyProtection="1">
      <alignment horizontal="left" vertical="top" wrapText="1"/>
    </xf>
    <xf numFmtId="0" fontId="35" fillId="27" borderId="28" xfId="3" applyFont="1" applyFill="1" applyBorder="1" applyAlignment="1" applyProtection="1">
      <alignment horizontal="left" vertical="top" wrapText="1"/>
    </xf>
    <xf numFmtId="0" fontId="40" fillId="25" borderId="31" xfId="0" applyFont="1" applyFill="1" applyBorder="1" applyAlignment="1">
      <alignment horizontal="left" vertical="top" wrapText="1"/>
    </xf>
    <xf numFmtId="0" fontId="40" fillId="25" borderId="32" xfId="0" applyFont="1" applyFill="1" applyBorder="1" applyAlignment="1">
      <alignment horizontal="left" vertical="top" wrapText="1"/>
    </xf>
    <xf numFmtId="0" fontId="35" fillId="0" borderId="32" xfId="0" applyFont="1" applyBorder="1" applyAlignment="1">
      <alignment vertical="center" wrapText="1"/>
    </xf>
    <xf numFmtId="0" fontId="35" fillId="0" borderId="54" xfId="0" applyFont="1" applyBorder="1" applyAlignment="1">
      <alignment vertical="center" wrapText="1"/>
    </xf>
    <xf numFmtId="0" fontId="35" fillId="26" borderId="33" xfId="0" applyFont="1" applyFill="1" applyBorder="1" applyAlignment="1">
      <alignment horizontal="center" vertical="center"/>
    </xf>
    <xf numFmtId="0" fontId="35" fillId="0" borderId="33" xfId="0" applyFont="1" applyBorder="1" applyAlignment="1">
      <alignment vertical="center"/>
    </xf>
    <xf numFmtId="0" fontId="35" fillId="27" borderId="33" xfId="0" applyFont="1" applyFill="1" applyBorder="1" applyAlignment="1">
      <alignment horizontal="left" vertical="top" wrapText="1"/>
    </xf>
    <xf numFmtId="0" fontId="35" fillId="0" borderId="33" xfId="0" applyFont="1" applyBorder="1" applyAlignment="1">
      <alignment horizontal="left" vertical="center"/>
    </xf>
    <xf numFmtId="0" fontId="35" fillId="0" borderId="104" xfId="0" applyFont="1" applyBorder="1" applyAlignment="1">
      <alignment horizontal="left" vertical="top"/>
    </xf>
    <xf numFmtId="0" fontId="35" fillId="0" borderId="48" xfId="0" applyFont="1" applyBorder="1" applyAlignment="1">
      <alignment horizontal="left" vertical="top"/>
    </xf>
    <xf numFmtId="0" fontId="35" fillId="27" borderId="31" xfId="0" applyFont="1" applyFill="1" applyBorder="1" applyAlignment="1">
      <alignment horizontal="left" vertical="center"/>
    </xf>
    <xf numFmtId="0" fontId="35" fillId="27" borderId="32" xfId="0" applyFont="1" applyFill="1" applyBorder="1" applyAlignment="1">
      <alignment horizontal="left" vertical="center"/>
    </xf>
    <xf numFmtId="0" fontId="35" fillId="27" borderId="54" xfId="0" applyFont="1" applyFill="1" applyBorder="1" applyAlignment="1">
      <alignment horizontal="left" vertical="center"/>
    </xf>
    <xf numFmtId="0" fontId="35" fillId="27" borderId="31" xfId="0" applyFont="1" applyFill="1" applyBorder="1" applyAlignment="1">
      <alignment horizontal="left" vertical="center" shrinkToFit="1"/>
    </xf>
    <xf numFmtId="0" fontId="35" fillId="27" borderId="54" xfId="0" applyFont="1" applyFill="1" applyBorder="1" applyAlignment="1">
      <alignment horizontal="left" vertical="center" shrinkToFit="1"/>
    </xf>
    <xf numFmtId="0" fontId="35" fillId="27" borderId="31" xfId="3" applyFont="1" applyFill="1" applyBorder="1" applyAlignment="1" applyProtection="1">
      <alignment horizontal="left" vertical="top" wrapText="1"/>
    </xf>
    <xf numFmtId="0" fontId="35" fillId="27" borderId="32" xfId="3" applyFont="1" applyFill="1" applyBorder="1" applyAlignment="1" applyProtection="1">
      <alignment horizontal="left" vertical="top" wrapText="1"/>
    </xf>
    <xf numFmtId="0" fontId="35" fillId="27" borderId="54" xfId="3" applyFont="1" applyFill="1" applyBorder="1" applyAlignment="1" applyProtection="1">
      <alignment horizontal="left" vertical="top" wrapText="1"/>
    </xf>
    <xf numFmtId="0" fontId="26" fillId="2" borderId="71" xfId="81" applyNumberFormat="1" applyFont="1" applyFill="1" applyBorder="1" applyAlignment="1" applyProtection="1">
      <alignment vertical="center" shrinkToFit="1"/>
    </xf>
    <xf numFmtId="0" fontId="28" fillId="2" borderId="98" xfId="0" applyNumberFormat="1" applyFont="1" applyFill="1" applyBorder="1" applyAlignment="1">
      <alignment vertical="center" shrinkToFit="1"/>
    </xf>
    <xf numFmtId="0" fontId="26" fillId="2" borderId="65" xfId="81" applyNumberFormat="1" applyFont="1" applyFill="1" applyBorder="1" applyAlignment="1" applyProtection="1">
      <alignment vertical="center" shrinkToFit="1"/>
    </xf>
    <xf numFmtId="0" fontId="28" fillId="2" borderId="94" xfId="0" applyNumberFormat="1" applyFont="1" applyFill="1" applyBorder="1" applyAlignment="1">
      <alignment vertical="center" shrinkToFit="1"/>
    </xf>
    <xf numFmtId="0" fontId="28" fillId="2" borderId="43" xfId="0" applyNumberFormat="1" applyFont="1" applyFill="1" applyBorder="1" applyAlignment="1">
      <alignment horizontal="center" vertical="center"/>
    </xf>
    <xf numFmtId="0" fontId="28" fillId="2" borderId="51" xfId="0" applyNumberFormat="1" applyFont="1" applyFill="1" applyBorder="1" applyAlignment="1">
      <alignment horizontal="center" vertical="center"/>
    </xf>
    <xf numFmtId="0" fontId="28" fillId="2" borderId="44" xfId="0" applyNumberFormat="1" applyFont="1" applyFill="1" applyBorder="1" applyAlignment="1">
      <alignment horizontal="center" vertical="center"/>
    </xf>
    <xf numFmtId="0" fontId="28" fillId="2" borderId="187" xfId="0" applyNumberFormat="1" applyFont="1" applyFill="1" applyBorder="1" applyAlignment="1">
      <alignment horizontal="center" vertical="center"/>
    </xf>
    <xf numFmtId="0" fontId="28" fillId="2" borderId="30" xfId="0" applyNumberFormat="1" applyFont="1" applyFill="1" applyBorder="1" applyAlignment="1">
      <alignment horizontal="center" vertical="center"/>
    </xf>
    <xf numFmtId="0" fontId="26" fillId="0" borderId="166" xfId="81" applyNumberFormat="1" applyFont="1" applyFill="1" applyBorder="1" applyAlignment="1" applyProtection="1">
      <alignment vertical="center" shrinkToFit="1"/>
    </xf>
    <xf numFmtId="0" fontId="28" fillId="0" borderId="160" xfId="0" applyNumberFormat="1" applyFont="1" applyFill="1" applyBorder="1" applyAlignment="1">
      <alignment vertical="center" shrinkToFit="1"/>
    </xf>
    <xf numFmtId="0" fontId="38" fillId="27" borderId="164" xfId="81" applyNumberFormat="1" applyFont="1" applyFill="1" applyBorder="1" applyAlignment="1" applyProtection="1">
      <alignment vertical="center"/>
    </xf>
    <xf numFmtId="0" fontId="38" fillId="27" borderId="159" xfId="81" applyNumberFormat="1" applyFont="1" applyFill="1" applyBorder="1" applyAlignment="1" applyProtection="1">
      <alignment vertical="center"/>
    </xf>
    <xf numFmtId="0" fontId="38" fillId="27" borderId="165" xfId="81" applyNumberFormat="1" applyFont="1" applyFill="1" applyBorder="1" applyAlignment="1" applyProtection="1">
      <alignment vertical="center"/>
    </xf>
    <xf numFmtId="0" fontId="28" fillId="2" borderId="28" xfId="0" applyNumberFormat="1" applyFont="1" applyFill="1" applyBorder="1" applyAlignment="1">
      <alignment vertical="center" shrinkToFit="1"/>
    </xf>
    <xf numFmtId="0" fontId="26" fillId="2" borderId="22" xfId="81" applyNumberFormat="1" applyFont="1" applyFill="1" applyBorder="1" applyAlignment="1" applyProtection="1">
      <alignment vertical="center" shrinkToFit="1"/>
    </xf>
    <xf numFmtId="0" fontId="28" fillId="2" borderId="0" xfId="0" applyNumberFormat="1" applyFont="1" applyFill="1" applyBorder="1" applyAlignment="1">
      <alignment vertical="center" shrinkToFit="1"/>
    </xf>
    <xf numFmtId="0" fontId="28" fillId="2" borderId="145" xfId="0" applyNumberFormat="1" applyFont="1" applyFill="1" applyBorder="1" applyAlignment="1">
      <alignment vertical="center" shrinkToFit="1"/>
    </xf>
    <xf numFmtId="0" fontId="35" fillId="2" borderId="30" xfId="0" applyNumberFormat="1" applyFont="1" applyFill="1" applyBorder="1" applyAlignment="1">
      <alignment horizontal="center" vertical="center"/>
    </xf>
    <xf numFmtId="0" fontId="35" fillId="2" borderId="126" xfId="0" applyNumberFormat="1" applyFont="1" applyFill="1" applyBorder="1" applyAlignment="1">
      <alignment horizontal="center" vertical="center"/>
    </xf>
    <xf numFmtId="0" fontId="35" fillId="2" borderId="50" xfId="0" applyNumberFormat="1" applyFont="1" applyFill="1" applyBorder="1" applyAlignment="1">
      <alignment horizontal="center" vertical="center"/>
    </xf>
  </cellXfs>
  <cellStyles count="89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チェック セル 2 2" xfId="66"/>
    <cellStyle name="チェック セル 2 2 2" xfId="78"/>
    <cellStyle name="チェック セル 2 2 3" xfId="82"/>
    <cellStyle name="チェック セル 2 2 4" xfId="84"/>
    <cellStyle name="チェック セル 2 3" xfId="74"/>
    <cellStyle name="チェック セル 2 3 2" xfId="79"/>
    <cellStyle name="チェック セル 2 3 3" xfId="83"/>
    <cellStyle name="チェック セル 2 3 4" xfId="85"/>
    <cellStyle name="チェック セル 2 4" xfId="77"/>
    <cellStyle name="チェック セル 2 5" xfId="80"/>
    <cellStyle name="どちらでもない 2" xfId="32"/>
    <cellStyle name="パーセント" xfId="86" builtinId="5"/>
    <cellStyle name="パーセント 2" xfId="33"/>
    <cellStyle name="パーセント 3" xfId="5"/>
    <cellStyle name="ハイパーリンク" xfId="1" builtinId="8"/>
    <cellStyle name="メモ 2" xfId="34"/>
    <cellStyle name="メモ 2 2" xfId="67"/>
    <cellStyle name="リンク セル 2" xfId="35"/>
    <cellStyle name="悪い 2" xfId="36"/>
    <cellStyle name="計算 2" xfId="37"/>
    <cellStyle name="計算 2 2" xfId="68"/>
    <cellStyle name="警告文 2" xfId="38"/>
    <cellStyle name="桁区切り" xfId="88" builtinId="6"/>
    <cellStyle name="桁区切り 2" xfId="39"/>
    <cellStyle name="桁区切り 3" xfId="40"/>
    <cellStyle name="桁区切り 3 2" xfId="41"/>
    <cellStyle name="桁区切り 4" xfId="42"/>
    <cellStyle name="桁区切り 5" xfId="62"/>
    <cellStyle name="見出し 1 2" xfId="43"/>
    <cellStyle name="見出し 2 2" xfId="44"/>
    <cellStyle name="見出し 3 2" xfId="45"/>
    <cellStyle name="見出し 4 2" xfId="46"/>
    <cellStyle name="集計 2" xfId="47"/>
    <cellStyle name="集計 2 2" xfId="72"/>
    <cellStyle name="集計 2 2 2" xfId="75"/>
    <cellStyle name="集計 2 3" xfId="69"/>
    <cellStyle name="出力 2" xfId="48"/>
    <cellStyle name="出力 2 2" xfId="73"/>
    <cellStyle name="出力 2 2 2" xfId="76"/>
    <cellStyle name="出力 2 3" xfId="70"/>
    <cellStyle name="説明文 2" xfId="49"/>
    <cellStyle name="通貨 2" xfId="50"/>
    <cellStyle name="通貨 2 2" xfId="51"/>
    <cellStyle name="通貨 3" xfId="52"/>
    <cellStyle name="入力 2" xfId="53"/>
    <cellStyle name="入力 2 2" xfId="71"/>
    <cellStyle name="標準" xfId="0" builtinId="0"/>
    <cellStyle name="標準 2" xfId="2"/>
    <cellStyle name="標準 2 2" xfId="54"/>
    <cellStyle name="標準 3" xfId="55"/>
    <cellStyle name="標準 3 2" xfId="56"/>
    <cellStyle name="標準 3 3" xfId="57"/>
    <cellStyle name="標準 3_WS130401y" xfId="58"/>
    <cellStyle name="標準 4" xfId="59"/>
    <cellStyle name="標準 4 2" xfId="60"/>
    <cellStyle name="標準 5" xfId="63"/>
    <cellStyle name="標準 6" xfId="64"/>
    <cellStyle name="標準 7" xfId="65"/>
    <cellStyle name="標準_Book1" xfId="3"/>
    <cellStyle name="標準_サービス見込量WS(Ver.1.0)" xfId="4"/>
    <cellStyle name="標準_介護円滑導入臨時特例交付金の所要額調作業シート_v2a" xfId="81"/>
    <cellStyle name="標準_第4期第１号被保険者の保険料推計WS（6段階）ver1.0" xfId="87"/>
    <cellStyle name="良い 2" xfId="61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CC"/>
      <color rgb="FF00B0F0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theme/theme1.xml" Type="http://schemas.openxmlformats.org/officeDocument/2006/relationships/theme"/>
<Relationship Id="rId8" Target="styles.xml" Type="http://schemas.openxmlformats.org/officeDocument/2006/relationships/styles"/>
<Relationship Id="rId9" Target="sharedStrings.xml" Type="http://schemas.openxmlformats.org/officeDocument/2006/relationships/sharedStrings"/>
</Relationships>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09343725055291"/>
          <c:y val="8.0861397938808727E-2"/>
          <c:w val="0.5189775632884599"/>
          <c:h val="0.7052775330055466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'1_推計値サマリ'!$A$64</c:f>
              <c:strCache>
                <c:ptCount val="1"/>
                <c:pt idx="0">
                  <c:v>（３）施設サービス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'1_推計値サマリ'!$D$61:$I$61</c:f>
              <c:strCache>
                <c:ptCount val="6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'1_推計値サマリ'!$D$64:$I$64</c:f>
              <c:numCache>
                <c:formatCode>#,##0_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C-4FFF-B887-B7E1595EB847}"/>
            </c:ext>
          </c:extLst>
        </c:ser>
        <c:ser>
          <c:idx val="1"/>
          <c:order val="1"/>
          <c:tx>
            <c:strRef>
              <c:f>'1_推計値サマリ'!$A$63</c:f>
              <c:strCache>
                <c:ptCount val="1"/>
                <c:pt idx="0">
                  <c:v>（２）居住系サービス</c:v>
                </c:pt>
              </c:strCache>
            </c:strRef>
          </c:tx>
          <c:spPr>
            <a:pattFill prst="pct2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'1_推計値サマリ'!$D$61:$I$61</c:f>
              <c:strCache>
                <c:ptCount val="6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'1_推計値サマリ'!$D$63:$I$63</c:f>
              <c:numCache>
                <c:formatCode>#,##0_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C-4FFF-B887-B7E1595EB847}"/>
            </c:ext>
          </c:extLst>
        </c:ser>
        <c:ser>
          <c:idx val="0"/>
          <c:order val="2"/>
          <c:tx>
            <c:strRef>
              <c:f>'1_推計値サマリ'!$A$62</c:f>
              <c:strCache>
                <c:ptCount val="1"/>
                <c:pt idx="0">
                  <c:v>（１）在宅サービス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'1_推計値サマリ'!$D$61:$I$61</c:f>
              <c:strCache>
                <c:ptCount val="6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'1_推計値サマリ'!$D$62:$I$62</c:f>
              <c:numCache>
                <c:formatCode>#,##0_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C-4FFF-B887-B7E1595E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753840"/>
        <c:axId val="360753448"/>
      </c:barChart>
      <c:catAx>
        <c:axId val="36075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200000"/>
          <a:lstStyle/>
          <a:p>
            <a:pPr>
              <a:defRPr sz="900" baseline="0"/>
            </a:pPr>
            <a:endParaRPr lang="ja-JP"/>
          </a:p>
        </c:txPr>
        <c:crossAx val="360753448"/>
        <c:crosses val="autoZero"/>
        <c:auto val="1"/>
        <c:lblAlgn val="ctr"/>
        <c:lblOffset val="100"/>
        <c:noMultiLvlLbl val="0"/>
      </c:catAx>
      <c:valAx>
        <c:axId val="36075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給付費（千円）</a:t>
                </a:r>
              </a:p>
            </c:rich>
          </c:tx>
          <c:layout>
            <c:manualLayout>
              <c:xMode val="edge"/>
              <c:yMode val="edge"/>
              <c:x val="9.0411323939015176E-3"/>
              <c:y val="0.20877081992658567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360753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63532410812952"/>
          <c:y val="0.34403368478848995"/>
          <c:w val="0.19035337422694337"/>
          <c:h val="0.3238729233174662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03227919307674"/>
          <c:y val="8.1720687428814817E-2"/>
          <c:w val="0.55059820116383562"/>
          <c:h val="0.708729654193732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'1_推計値サマリ'!$A$41:$C$41</c:f>
              <c:strCache>
                <c:ptCount val="3"/>
                <c:pt idx="0">
                  <c:v>（２）居住系サービス</c:v>
                </c:pt>
              </c:strCache>
            </c:strRef>
          </c:tx>
          <c:spPr>
            <a:pattFill prst="pct2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'1_推計値サマリ'!$D$39:$I$39</c:f>
              <c:strCache>
                <c:ptCount val="6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'1_推計値サマリ'!$D$41:$I$41</c:f>
              <c:numCache>
                <c:formatCode>#,##0_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B-4A7D-9BF0-CF6AF3F34854}"/>
            </c:ext>
          </c:extLst>
        </c:ser>
        <c:ser>
          <c:idx val="2"/>
          <c:order val="1"/>
          <c:tx>
            <c:strRef>
              <c:f>'1_推計値サマリ'!$A$40:$C$40</c:f>
              <c:strCache>
                <c:ptCount val="3"/>
                <c:pt idx="0">
                  <c:v>（１）在宅サービス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'1_推計値サマリ'!$D$39:$I$39</c:f>
              <c:strCache>
                <c:ptCount val="6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  <c:pt idx="5">
                  <c:v>令和5年度</c:v>
                </c:pt>
              </c:strCache>
            </c:strRef>
          </c:cat>
          <c:val>
            <c:numRef>
              <c:f>'1_推計値サマリ'!$D$40:$I$40</c:f>
              <c:numCache>
                <c:formatCode>#,##0_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B-4A7D-9BF0-CF6AF3F34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751880"/>
        <c:axId val="360754624"/>
      </c:barChart>
      <c:catAx>
        <c:axId val="360751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440000"/>
          <a:lstStyle/>
          <a:p>
            <a:pPr>
              <a:defRPr sz="900" baseline="0"/>
            </a:pPr>
            <a:endParaRPr lang="ja-JP"/>
          </a:p>
        </c:txPr>
        <c:crossAx val="360754624"/>
        <c:crosses val="autoZero"/>
        <c:auto val="1"/>
        <c:lblAlgn val="ctr"/>
        <c:lblOffset val="100"/>
        <c:noMultiLvlLbl val="0"/>
      </c:catAx>
      <c:valAx>
        <c:axId val="360754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給付費（千円）</a:t>
                </a:r>
              </a:p>
            </c:rich>
          </c:tx>
          <c:layout>
            <c:manualLayout>
              <c:xMode val="edge"/>
              <c:yMode val="edge"/>
              <c:x val="2.1458821404776011E-2"/>
              <c:y val="0.2185784388960344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3607518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700539704532456"/>
          <c:y val="0.31804657126988928"/>
          <c:w val="0.1846384330548213"/>
          <c:h val="0.2757383449312292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第</a:t>
            </a:r>
            <a:r>
              <a:rPr lang="en-US" altLang="ja-JP" sz="1200"/>
              <a:t>1</a:t>
            </a:r>
            <a:r>
              <a:rPr lang="ja-JP" altLang="en-US" sz="1200"/>
              <a:t>号被保険者</a:t>
            </a:r>
            <a:r>
              <a:rPr lang="en-US" altLang="ja-JP" sz="1200"/>
              <a:t>1</a:t>
            </a:r>
            <a:r>
              <a:rPr lang="ja-JP" altLang="en-US" sz="1200"/>
              <a:t>人あたりの給付月額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'1_推計値サマリ'!$D$90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EC-492D-A944-C520EE943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'1_推計値サマリ'!$D$92:$E$92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'1_推計値サマリ'!$D$91:$E$91</c:f>
              <c:numCache>
                <c:formatCode>#,##0_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133-4CC0-A04F-571C7B510517}"/>
            </c:ext>
          </c:extLst>
        </c:ser>
        <c:ser>
          <c:idx val="5"/>
          <c:order val="1"/>
          <c:tx>
            <c:strRef>
              <c:f>'1_推計値サマリ'!$E$90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EC-492D-A944-C520EE943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'1_推計値サマリ'!$E$92:$F$92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'1_推計値サマリ'!$E$91:$F$91</c:f>
              <c:numCache>
                <c:formatCode>#,##0_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133-4CC0-A04F-571C7B510517}"/>
            </c:ext>
          </c:extLst>
        </c:ser>
        <c:ser>
          <c:idx val="0"/>
          <c:order val="2"/>
          <c:tx>
            <c:strRef>
              <c:f>'1_推計値サマリ'!$F$90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EC-492D-A944-C520EE943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'1_推計値サマリ'!$F$92:$G$92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'1_推計値サマリ'!$F$91:$G$91</c:f>
              <c:numCache>
                <c:formatCode>#,##0_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33-4CC0-A04F-571C7B510517}"/>
            </c:ext>
          </c:extLst>
        </c:ser>
        <c:ser>
          <c:idx val="1"/>
          <c:order val="3"/>
          <c:tx>
            <c:strRef>
              <c:f>'1_推計値サマリ'!$G$90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EC-492D-A944-C520EE943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'1_推計値サマリ'!$G$92:$H$92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'1_推計値サマリ'!$G$91:$H$91</c:f>
              <c:numCache>
                <c:formatCode>#,##0_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33-4CC0-A04F-571C7B510517}"/>
            </c:ext>
          </c:extLst>
        </c:ser>
        <c:ser>
          <c:idx val="2"/>
          <c:order val="4"/>
          <c:tx>
            <c:strRef>
              <c:f>'1_推計値サマリ'!$H$90</c:f>
              <c:strCache>
                <c:ptCount val="1"/>
                <c:pt idx="0">
                  <c:v>令和4年度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EC-492D-A944-C520EE943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'1_推計値サマリ'!$H$92:$I$92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'1_推計値サマリ'!$H$91:$I$91</c:f>
              <c:numCache>
                <c:formatCode>#,##0_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33-4CC0-A04F-571C7B510517}"/>
            </c:ext>
          </c:extLst>
        </c:ser>
        <c:ser>
          <c:idx val="3"/>
          <c:order val="5"/>
          <c:tx>
            <c:strRef>
              <c:f>'1_推計値サマリ'!$I$90</c:f>
              <c:strCache>
                <c:ptCount val="1"/>
                <c:pt idx="0">
                  <c:v>令和5年度</c:v>
                </c:pt>
              </c:strCache>
            </c:strRef>
          </c:tx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'1_推計値サマリ'!$I$92</c:f>
              <c:strCache>
                <c:ptCount val="1"/>
                <c:pt idx="0">
                  <c:v>－</c:v>
                </c:pt>
              </c:strCache>
            </c:strRef>
          </c:xVal>
          <c:yVal>
            <c:numRef>
              <c:f>'1_推計値サマリ'!$I$91</c:f>
              <c:numCache>
                <c:formatCode>#,##0_ 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33-4CC0-A04F-571C7B51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752272"/>
        <c:axId val="360755016"/>
      </c:scatterChart>
      <c:valAx>
        <c:axId val="3607522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施設サービス給付月額（千円）</a:t>
                </a:r>
              </a:p>
            </c:rich>
          </c:tx>
          <c:overlay val="0"/>
        </c:title>
        <c:numFmt formatCode="#,##0_ " sourceLinked="1"/>
        <c:majorTickMark val="none"/>
        <c:minorTickMark val="none"/>
        <c:tickLblPos val="nextTo"/>
        <c:crossAx val="360755016"/>
        <c:crosses val="autoZero"/>
        <c:crossBetween val="midCat"/>
      </c:valAx>
      <c:valAx>
        <c:axId val="36075501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在宅サービス給付月額（千円）</a:t>
                </a:r>
              </a:p>
            </c:rich>
          </c:tx>
          <c:layout>
            <c:manualLayout>
              <c:xMode val="edge"/>
              <c:yMode val="edge"/>
              <c:x val="1.6666666666666701E-2"/>
              <c:y val="0.14679425488480669"/>
            </c:manualLayout>
          </c:layout>
          <c:overlay val="0"/>
        </c:title>
        <c:numFmt formatCode="#,##0_ " sourceLinked="1"/>
        <c:majorTickMark val="none"/>
        <c:minorTickMark val="none"/>
        <c:tickLblPos val="nextTo"/>
        <c:crossAx val="360752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在宅サービス／施設・居住系サービス受給率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'1_推計値サマリ'!$D$115</c:f>
              <c:strCache>
                <c:ptCount val="1"/>
                <c:pt idx="0">
                  <c:v>平成30年度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C0-47FE-B2DE-9A5A04060F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'1_推計値サマリ'!$D$117:$E$117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'1_推計値サマリ'!$D$116:$E$116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133-4CC0-A04F-571C7B510517}"/>
            </c:ext>
          </c:extLst>
        </c:ser>
        <c:ser>
          <c:idx val="5"/>
          <c:order val="1"/>
          <c:tx>
            <c:strRef>
              <c:f>'1_推計値サマリ'!$E$115</c:f>
              <c:strCache>
                <c:ptCount val="1"/>
                <c:pt idx="0">
                  <c:v>令和元年度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0-47FE-B2DE-9A5A04060F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'1_推計値サマリ'!$E$117:$F$117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'1_推計値サマリ'!$E$116:$F$116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133-4CC0-A04F-571C7B510517}"/>
            </c:ext>
          </c:extLst>
        </c:ser>
        <c:ser>
          <c:idx val="0"/>
          <c:order val="2"/>
          <c:tx>
            <c:strRef>
              <c:f>'1_推計値サマリ'!$F$115</c:f>
              <c:strCache>
                <c:ptCount val="1"/>
                <c:pt idx="0">
                  <c:v>令和2年度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C0-47FE-B2DE-9A5A04060F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'1_推計値サマリ'!$F$117:$G$117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'1_推計値サマリ'!$F$116:$G$116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33-4CC0-A04F-571C7B510517}"/>
            </c:ext>
          </c:extLst>
        </c:ser>
        <c:ser>
          <c:idx val="1"/>
          <c:order val="3"/>
          <c:tx>
            <c:strRef>
              <c:f>'1_推計値サマリ'!$G$115</c:f>
              <c:strCache>
                <c:ptCount val="1"/>
                <c:pt idx="0">
                  <c:v>令和3年度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C0-47FE-B2DE-9A5A04060F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'1_推計値サマリ'!$G$117:$H$117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'1_推計値サマリ'!$G$116:$H$116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33-4CC0-A04F-571C7B510517}"/>
            </c:ext>
          </c:extLst>
        </c:ser>
        <c:ser>
          <c:idx val="2"/>
          <c:order val="4"/>
          <c:tx>
            <c:strRef>
              <c:f>'1_推計値サマリ'!$H$115</c:f>
              <c:strCache>
                <c:ptCount val="1"/>
                <c:pt idx="0">
                  <c:v>令和4年度</c:v>
                </c:pt>
              </c:strCache>
            </c:strRef>
          </c:tx>
          <c:spPr>
            <a:ln w="19050">
              <a:solidFill>
                <a:schemeClr val="accent2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C0-47FE-B2DE-9A5A04060F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'1_推計値サマリ'!$H$117:$I$117</c:f>
              <c:strCache>
                <c:ptCount val="2"/>
                <c:pt idx="0">
                  <c:v>－</c:v>
                </c:pt>
                <c:pt idx="1">
                  <c:v>－</c:v>
                </c:pt>
              </c:strCache>
            </c:strRef>
          </c:xVal>
          <c:yVal>
            <c:numRef>
              <c:f>'1_推計値サマリ'!$H$116:$I$116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33-4CC0-A04F-571C7B510517}"/>
            </c:ext>
          </c:extLst>
        </c:ser>
        <c:ser>
          <c:idx val="3"/>
          <c:order val="5"/>
          <c:tx>
            <c:strRef>
              <c:f>'1_推計値サマリ'!$I$115</c:f>
              <c:strCache>
                <c:ptCount val="1"/>
                <c:pt idx="0">
                  <c:v>令和5年度</c:v>
                </c:pt>
              </c:strCache>
            </c:strRef>
          </c:tx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'1_推計値サマリ'!$I$117</c:f>
              <c:strCache>
                <c:ptCount val="1"/>
                <c:pt idx="0">
                  <c:v>－</c:v>
                </c:pt>
              </c:strCache>
            </c:strRef>
          </c:xVal>
          <c:yVal>
            <c:numRef>
              <c:f>'1_推計値サマリ'!$I$116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33-4CC0-A04F-571C7B51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627016"/>
        <c:axId val="360628192"/>
      </c:scatterChart>
      <c:valAx>
        <c:axId val="3606270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施設・居住系サービス受給率（％）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crossAx val="360628192"/>
        <c:crosses val="autoZero"/>
        <c:crossBetween val="midCat"/>
      </c:valAx>
      <c:valAx>
        <c:axId val="36062819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在宅サービス受給率｛％）</a:t>
                </a:r>
              </a:p>
            </c:rich>
          </c:tx>
          <c:layout>
            <c:manualLayout>
              <c:xMode val="edge"/>
              <c:yMode val="edge"/>
              <c:x val="1.6666666666666701E-2"/>
              <c:y val="0.14679425488480669"/>
            </c:manualLayout>
          </c:layout>
          <c:overlay val="0"/>
        </c:title>
        <c:numFmt formatCode="0.00%" sourceLinked="1"/>
        <c:majorTickMark val="none"/>
        <c:minorTickMark val="none"/>
        <c:tickLblPos val="nextTo"/>
        <c:crossAx val="360627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no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Relationship Id="rId3" Target="../charts/chart3.xml" Type="http://schemas.openxmlformats.org/officeDocument/2006/relationships/chart"/>
<Relationship Id="rId4" Target="../charts/chart4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979487</xdr:colOff>
      <xdr:row>66</xdr:row>
      <xdr:rowOff>63499</xdr:rowOff>
    </xdr:from>
    <xdr:to>
      <xdr:col>9</xdr:col>
      <xdr:colOff>227300</xdr:colOff>
      <xdr:row>79</xdr:row>
      <xdr:rowOff>23812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980462</xdr:colOff>
      <xdr:row>43</xdr:row>
      <xdr:rowOff>63499</xdr:rowOff>
    </xdr:from>
    <xdr:to>
      <xdr:col>9</xdr:col>
      <xdr:colOff>226218</xdr:colOff>
      <xdr:row>57</xdr:row>
      <xdr:rowOff>130969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1416844</xdr:colOff>
      <xdr:row>93</xdr:row>
      <xdr:rowOff>19852</xdr:rowOff>
    </xdr:from>
    <xdr:to>
      <xdr:col>6</xdr:col>
      <xdr:colOff>488156</xdr:colOff>
      <xdr:row>109</xdr:row>
      <xdr:rowOff>96052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1416844</xdr:colOff>
      <xdr:row>118</xdr:row>
      <xdr:rowOff>19852</xdr:rowOff>
    </xdr:from>
    <xdr:to>
      <xdr:col>6</xdr:col>
      <xdr:colOff>488156</xdr:colOff>
      <xdr:row>134</xdr:row>
      <xdr:rowOff>96052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161"/>
  <sheetViews>
    <sheetView showGridLines="0" tabSelected="1" view="pageBreakPreview" zoomScale="85" zoomScaleNormal="100" zoomScaleSheetLayoutView="85" workbookViewId="0">
      <selection activeCell="T1" sqref="T1"/>
    </sheetView>
  </sheetViews>
  <sheetFormatPr defaultRowHeight="13.5"/>
  <cols>
    <col min="1" max="1" style="597" width="9.0" collapsed="false"/>
    <col min="2" max="2" customWidth="true" style="597" width="28.5" collapsed="false"/>
    <col min="3" max="18" customWidth="true" style="597" width="11.125" collapsed="false"/>
    <col min="19" max="16384" style="597" width="9.0" collapsed="false"/>
  </cols>
  <sheetData>
    <row r="1" spans="1:18" ht="54.75" customHeight="1">
      <c r="A1" s="1013" t="s">
        <v>279</v>
      </c>
      <c r="B1" s="1013"/>
      <c r="C1" s="1013"/>
      <c r="D1" s="1013"/>
      <c r="E1" s="1013"/>
      <c r="F1" s="1013"/>
      <c r="G1" s="1013"/>
      <c r="H1" s="1013"/>
      <c r="I1" s="1013"/>
      <c r="J1" s="1013"/>
      <c r="K1" s="1013"/>
      <c r="L1" s="1013"/>
      <c r="M1" s="1013"/>
    </row>
    <row r="2" spans="1:18" ht="15" thickBot="1">
      <c r="A2" s="392"/>
      <c r="Q2" s="598" t="s">
        <v>101</v>
      </c>
      <c r="R2" s="599" t="s">
        <v>425</v>
      </c>
    </row>
    <row r="3" spans="1:18" ht="14.25" thickBot="1">
      <c r="O3" s="1005" t="s">
        <v>69</v>
      </c>
      <c r="P3" s="1006"/>
      <c r="Q3" s="1003" t="s">
        <v>426</v>
      </c>
      <c r="R3" s="1004"/>
    </row>
    <row r="4" spans="1:18" ht="14.25" thickBot="1">
      <c r="O4" s="1005" t="s">
        <v>70</v>
      </c>
      <c r="P4" s="1006"/>
      <c r="Q4" s="1007" t="s">
        <v>427</v>
      </c>
      <c r="R4" s="1008"/>
    </row>
    <row r="5" spans="1:18" ht="31.5" customHeight="1" thickBot="1">
      <c r="O5" s="1009" t="s">
        <v>106</v>
      </c>
      <c r="P5" s="1010"/>
      <c r="Q5" s="1011" t="s">
        <v>428</v>
      </c>
      <c r="R5" s="1012"/>
    </row>
    <row r="6" spans="1:18" ht="14.25">
      <c r="A6" s="392" t="s">
        <v>74</v>
      </c>
    </row>
    <row r="7" spans="1:18" ht="14.25">
      <c r="A7" s="392"/>
    </row>
    <row r="8" spans="1:18">
      <c r="A8" s="414" t="s">
        <v>0</v>
      </c>
      <c r="B8" s="600"/>
      <c r="C8" s="207"/>
      <c r="D8" s="207"/>
      <c r="E8" s="207"/>
      <c r="F8" s="207"/>
      <c r="G8" s="207"/>
      <c r="H8" s="207"/>
      <c r="I8" s="207"/>
      <c r="J8" s="207"/>
      <c r="K8" s="207"/>
      <c r="L8" s="207"/>
    </row>
    <row r="9" spans="1:18" ht="14.25" thickBot="1">
      <c r="A9" s="601"/>
      <c r="B9" s="602"/>
      <c r="C9" s="1"/>
      <c r="D9" s="1"/>
      <c r="E9" s="1"/>
      <c r="F9" s="1"/>
      <c r="G9" s="1"/>
      <c r="H9" s="1"/>
      <c r="L9" s="2"/>
      <c r="N9" s="2"/>
      <c r="R9" s="2" t="s">
        <v>1</v>
      </c>
    </row>
    <row r="10" spans="1:18" ht="30" customHeight="1" thickBot="1">
      <c r="A10" s="1015"/>
      <c r="B10" s="1016"/>
      <c r="C10" s="1017"/>
      <c r="D10" s="418" t="s">
        <v>68</v>
      </c>
      <c r="E10" s="828" t="s">
        <v>257</v>
      </c>
      <c r="F10" s="419" t="s">
        <v>258</v>
      </c>
      <c r="G10" s="827" t="s">
        <v>259</v>
      </c>
      <c r="H10" s="828" t="s">
        <v>260</v>
      </c>
      <c r="I10" s="829" t="s">
        <v>261</v>
      </c>
      <c r="J10" s="40" t="s">
        <v>107</v>
      </c>
      <c r="K10" s="827" t="s">
        <v>262</v>
      </c>
      <c r="L10" s="41" t="s">
        <v>108</v>
      </c>
      <c r="M10" s="827" t="s">
        <v>320</v>
      </c>
      <c r="N10" s="41" t="s">
        <v>108</v>
      </c>
      <c r="O10" s="827" t="s">
        <v>321</v>
      </c>
      <c r="P10" s="41" t="s">
        <v>108</v>
      </c>
      <c r="Q10" s="827" t="s">
        <v>322</v>
      </c>
      <c r="R10" s="41" t="s">
        <v>108</v>
      </c>
    </row>
    <row r="11" spans="1:18">
      <c r="A11" s="13" t="s">
        <v>2</v>
      </c>
      <c r="B11" s="3"/>
      <c r="C11" s="4"/>
      <c r="D11" s="58" t="n">
        <f t="shared" ref="D11:I11" si="0">SUM(D12:D13)</f>
        <v>11110.0</v>
      </c>
      <c r="E11" s="59" t="n">
        <f t="shared" si="0"/>
        <v>10902.0</v>
      </c>
      <c r="F11" s="60" t="n">
        <f t="shared" si="0"/>
        <v>10706.0</v>
      </c>
      <c r="G11" s="61" t="n">
        <f t="shared" si="0"/>
        <v>10513.0</v>
      </c>
      <c r="H11" s="62" t="n">
        <f t="shared" si="0"/>
        <v>10353.0</v>
      </c>
      <c r="I11" s="50" t="n">
        <f t="shared" si="0"/>
        <v>10178.0</v>
      </c>
      <c r="J11" s="88" t="n">
        <f>IFERROR((SUM(G11:I11)/3)/F11,"－")</f>
        <v>0.9665608070240986</v>
      </c>
      <c r="K11" s="61" t="n">
        <f>SUM(K12:K13)</f>
        <v>9842.0</v>
      </c>
      <c r="L11" s="90" t="n">
        <f>IFERROR(K11/F11,"－")</f>
        <v>0.9192975901363721</v>
      </c>
      <c r="M11" s="61" t="n">
        <f>SUM(M12:M13)</f>
        <v>9031.0</v>
      </c>
      <c r="N11" s="90" t="n">
        <f>IFERROR(M11/F11,"－")</f>
        <v>0.8435456753222492</v>
      </c>
      <c r="O11" s="61" t="n">
        <f>SUM(O12:O13)</f>
        <v>8294.0</v>
      </c>
      <c r="P11" s="90" t="n">
        <f>IFERROR(O11/F11,"－")</f>
        <v>0.7747057724640388</v>
      </c>
      <c r="Q11" s="61" t="n">
        <f>SUM(Q12:Q13)</f>
        <v>7627.0</v>
      </c>
      <c r="R11" s="90" t="n">
        <f>IFERROR(Q11/F11,"－")</f>
        <v>0.7124042592938539</v>
      </c>
    </row>
    <row r="12" spans="1:18">
      <c r="A12" s="5"/>
      <c r="B12" s="6" t="s">
        <v>3</v>
      </c>
      <c r="C12" s="603"/>
      <c r="D12" s="57" t="n">
        <v>7017.0</v>
      </c>
      <c r="E12" s="52" t="n">
        <v>6998.0</v>
      </c>
      <c r="F12" s="53" t="n">
        <v>6924.0</v>
      </c>
      <c r="G12" s="54" t="n">
        <v>6850.0</v>
      </c>
      <c r="H12" s="55" t="n">
        <v>6815.0</v>
      </c>
      <c r="I12" s="56" t="n">
        <v>6763.0</v>
      </c>
      <c r="J12" s="88" t="n">
        <f>IFERROR((SUM(G12:I12)/3)/F12,"－")</f>
        <v>0.9834392451376853</v>
      </c>
      <c r="K12" s="63" t="n">
        <v>6655.0</v>
      </c>
      <c r="L12" s="90" t="n">
        <f>IFERROR(K12/F12,"－")</f>
        <v>0.9611496244945118</v>
      </c>
      <c r="M12" s="63" t="n">
        <v>6258.0</v>
      </c>
      <c r="N12" s="90" t="n">
        <f>IFERROR(M12/F12,"－")</f>
        <v>0.9038128249566725</v>
      </c>
      <c r="O12" s="63" t="n">
        <v>5882.0</v>
      </c>
      <c r="P12" s="90" t="n">
        <f>IFERROR(O12/F12,"－")</f>
        <v>0.8495089543616406</v>
      </c>
      <c r="Q12" s="63" t="n">
        <v>5528.0</v>
      </c>
      <c r="R12" s="90" t="n">
        <f>IFERROR(Q12/F12,"－")</f>
        <v>0.7983824378971692</v>
      </c>
    </row>
    <row r="13" spans="1:18" ht="14.25" thickBot="1">
      <c r="A13" s="5"/>
      <c r="B13" s="64" t="s">
        <v>4</v>
      </c>
      <c r="C13" s="603"/>
      <c r="D13" s="57" t="n">
        <v>4093.0</v>
      </c>
      <c r="E13" s="52" t="n">
        <v>3904.0</v>
      </c>
      <c r="F13" s="53" t="n">
        <v>3782.0</v>
      </c>
      <c r="G13" s="65" t="n">
        <v>3663.0</v>
      </c>
      <c r="H13" s="52" t="n">
        <v>3538.0</v>
      </c>
      <c r="I13" s="66" t="n">
        <v>3415.0</v>
      </c>
      <c r="J13" s="89" t="n">
        <f>IFERROR((SUM(G13:I13)/3)/F13,"－")</f>
        <v>0.9356601445443328</v>
      </c>
      <c r="K13" s="49" t="n">
        <v>3187.0</v>
      </c>
      <c r="L13" s="91" t="n">
        <f>IFERROR(K13/F13,"－")</f>
        <v>0.8426758328926494</v>
      </c>
      <c r="M13" s="49" t="n">
        <v>2773.0</v>
      </c>
      <c r="N13" s="91" t="n">
        <f>IFERROR(M13/F13,"－")</f>
        <v>0.7332099418297198</v>
      </c>
      <c r="O13" s="49" t="n">
        <v>2412.0</v>
      </c>
      <c r="P13" s="91" t="n">
        <f>IFERROR(O13/F13,"－")</f>
        <v>0.6377578001057641</v>
      </c>
      <c r="Q13" s="49" t="n">
        <v>2099.0</v>
      </c>
      <c r="R13" s="91" t="n">
        <f>IFERROR(Q13/F13,"－")</f>
        <v>0.5549973558963511</v>
      </c>
    </row>
    <row r="14" spans="1:18" ht="13.5" customHeight="1">
      <c r="A14" s="604"/>
      <c r="B14" s="605"/>
      <c r="C14" s="604"/>
      <c r="D14" s="604"/>
      <c r="E14" s="604"/>
      <c r="F14" s="604"/>
      <c r="G14" s="606" t="s">
        <v>280</v>
      </c>
      <c r="H14" s="604"/>
      <c r="I14" s="604"/>
      <c r="J14" s="604"/>
      <c r="K14" s="701" t="s">
        <v>411</v>
      </c>
      <c r="L14" s="700"/>
      <c r="M14" s="700"/>
    </row>
    <row r="15" spans="1:18">
      <c r="A15" s="607"/>
      <c r="B15" s="608"/>
      <c r="C15" s="607"/>
      <c r="D15" s="607"/>
      <c r="E15" s="607"/>
      <c r="F15" s="607"/>
      <c r="G15" s="609"/>
      <c r="H15" s="609"/>
      <c r="I15" s="609"/>
      <c r="J15" s="609"/>
      <c r="K15" s="700"/>
      <c r="L15" s="700"/>
      <c r="M15" s="700"/>
    </row>
    <row r="16" spans="1:18">
      <c r="A16" s="414" t="s">
        <v>5</v>
      </c>
      <c r="B16" s="600"/>
      <c r="C16" s="207"/>
      <c r="D16" s="207"/>
      <c r="E16" s="207"/>
      <c r="F16" s="207"/>
      <c r="G16" s="207"/>
      <c r="H16" s="207"/>
      <c r="I16" s="207"/>
      <c r="J16" s="207"/>
    </row>
    <row r="17" spans="1:18" ht="14.25" thickBot="1">
      <c r="A17" s="207"/>
      <c r="B17" s="600"/>
      <c r="C17" s="207"/>
      <c r="D17" s="207"/>
      <c r="E17" s="207"/>
      <c r="F17" s="207"/>
      <c r="G17" s="207"/>
      <c r="H17" s="207"/>
      <c r="L17" s="2"/>
      <c r="R17" s="2" t="s">
        <v>1</v>
      </c>
    </row>
    <row r="18" spans="1:18" ht="23.25" thickBot="1">
      <c r="A18" s="1015"/>
      <c r="B18" s="1016"/>
      <c r="C18" s="1017"/>
      <c r="D18" s="418" t="s">
        <v>263</v>
      </c>
      <c r="E18" s="829" t="s">
        <v>264</v>
      </c>
      <c r="F18" s="829" t="s">
        <v>258</v>
      </c>
      <c r="G18" s="827" t="s">
        <v>259</v>
      </c>
      <c r="H18" s="828" t="s">
        <v>260</v>
      </c>
      <c r="I18" s="829" t="s">
        <v>261</v>
      </c>
      <c r="J18" s="40" t="s">
        <v>107</v>
      </c>
      <c r="K18" s="827" t="s">
        <v>262</v>
      </c>
      <c r="L18" s="41" t="s">
        <v>108</v>
      </c>
      <c r="M18" s="827" t="s">
        <v>320</v>
      </c>
      <c r="N18" s="41" t="s">
        <v>108</v>
      </c>
      <c r="O18" s="827" t="s">
        <v>321</v>
      </c>
      <c r="P18" s="41" t="s">
        <v>108</v>
      </c>
      <c r="Q18" s="827" t="s">
        <v>322</v>
      </c>
      <c r="R18" s="41" t="s">
        <v>108</v>
      </c>
    </row>
    <row r="19" spans="1:18">
      <c r="A19" s="13" t="s">
        <v>6</v>
      </c>
      <c r="B19" s="14"/>
      <c r="C19" s="4"/>
      <c r="D19" s="61" t="n">
        <f>SUM(D20:D26)</f>
        <v>1222.0</v>
      </c>
      <c r="E19" s="62" t="n">
        <f t="shared" ref="E19:I19" si="1">SUM(E20:E26)</f>
        <v>1261.0</v>
      </c>
      <c r="F19" s="50" t="n">
        <f t="shared" si="1"/>
        <v>1299.0</v>
      </c>
      <c r="G19" s="61" t="n">
        <f t="shared" si="1"/>
        <v>1310.0</v>
      </c>
      <c r="H19" s="62" t="n">
        <f t="shared" si="1"/>
        <v>1315.0</v>
      </c>
      <c r="I19" s="50" t="n">
        <f t="shared" si="1"/>
        <v>1320.0</v>
      </c>
      <c r="J19" s="88" t="n">
        <f t="shared" ref="J19:J34" si="2">IFERROR((SUM(G19:I19)/3)/F19,"－")</f>
        <v>1.012317167051578</v>
      </c>
      <c r="K19" s="61" t="n">
        <f t="shared" ref="K19:M19" si="3">SUM(K20:K26)</f>
        <v>1325.0</v>
      </c>
      <c r="L19" s="90" t="n">
        <f t="shared" ref="L19:L34" si="4">IFERROR(K19/F19,"－")</f>
        <v>1.0200153964588146</v>
      </c>
      <c r="M19" s="61" t="n">
        <f t="shared" si="3"/>
        <v>1315.0</v>
      </c>
      <c r="N19" s="90" t="n">
        <f>IFERROR(M19/F19,"－")</f>
        <v>1.012317167051578</v>
      </c>
      <c r="O19" s="61" t="n">
        <f t="shared" ref="O19" si="5">SUM(O20:O26)</f>
        <v>1310.0</v>
      </c>
      <c r="P19" s="90" t="n">
        <f>IFERROR(O19/F19,"－")</f>
        <v>1.0084680523479599</v>
      </c>
      <c r="Q19" s="61" t="n">
        <f t="shared" ref="Q19" si="6">SUM(Q20:Q26)</f>
        <v>1210.0</v>
      </c>
      <c r="R19" s="90" t="n">
        <f>IFERROR(Q19/F19,"－")</f>
        <v>0.9314857582755967</v>
      </c>
    </row>
    <row r="20" spans="1:18">
      <c r="A20" s="13"/>
      <c r="B20" s="7"/>
      <c r="C20" s="8" t="s">
        <v>7</v>
      </c>
      <c r="D20" s="42" t="n">
        <v>88.0</v>
      </c>
      <c r="E20" s="44" t="n">
        <v>105.0</v>
      </c>
      <c r="F20" s="43" t="n">
        <v>94.0</v>
      </c>
      <c r="G20" s="42" t="n">
        <v>99.0</v>
      </c>
      <c r="H20" s="44" t="n">
        <v>98.0</v>
      </c>
      <c r="I20" s="43" t="n">
        <v>97.0</v>
      </c>
      <c r="J20" s="95" t="n">
        <f t="shared" si="2"/>
        <v>1.0425531914893618</v>
      </c>
      <c r="K20" s="48" t="n">
        <v>97.0</v>
      </c>
      <c r="L20" s="92" t="n">
        <f t="shared" si="4"/>
        <v>1.0319148936170213</v>
      </c>
      <c r="M20" s="48" t="n">
        <v>91.0</v>
      </c>
      <c r="N20" s="92" t="n">
        <f t="shared" ref="N20:N34" si="7">IFERROR(M20/F20,"－")</f>
        <v>0.9680851063829787</v>
      </c>
      <c r="O20" s="48" t="n">
        <v>86.0</v>
      </c>
      <c r="P20" s="92" t="n">
        <f t="shared" ref="P20:P34" si="8">IFERROR(O20/F20,"－")</f>
        <v>0.9148936170212766</v>
      </c>
      <c r="Q20" s="48" t="n">
        <v>81.0</v>
      </c>
      <c r="R20" s="92" t="n">
        <f t="shared" ref="R20:R34" si="9">IFERROR(Q20/F20,"－")</f>
        <v>0.8617021276595744</v>
      </c>
    </row>
    <row r="21" spans="1:18">
      <c r="A21" s="13"/>
      <c r="B21" s="7"/>
      <c r="C21" s="8" t="s">
        <v>8</v>
      </c>
      <c r="D21" s="42" t="n">
        <v>128.0</v>
      </c>
      <c r="E21" s="44" t="n">
        <v>164.0</v>
      </c>
      <c r="F21" s="43" t="n">
        <v>157.0</v>
      </c>
      <c r="G21" s="42" t="n">
        <v>154.0</v>
      </c>
      <c r="H21" s="44" t="n">
        <v>152.0</v>
      </c>
      <c r="I21" s="43" t="n">
        <v>152.0</v>
      </c>
      <c r="J21" s="95" t="n">
        <f t="shared" si="2"/>
        <v>0.9723991507430997</v>
      </c>
      <c r="K21" s="48" t="n">
        <v>156.0</v>
      </c>
      <c r="L21" s="92" t="n">
        <f t="shared" si="4"/>
        <v>0.9936305732484076</v>
      </c>
      <c r="M21" s="48" t="n">
        <v>155.0</v>
      </c>
      <c r="N21" s="92" t="n">
        <f t="shared" si="7"/>
        <v>0.9872611464968153</v>
      </c>
      <c r="O21" s="48" t="n">
        <v>147.0</v>
      </c>
      <c r="P21" s="92" t="n">
        <f t="shared" si="8"/>
        <v>0.9363057324840764</v>
      </c>
      <c r="Q21" s="48" t="n">
        <v>133.0</v>
      </c>
      <c r="R21" s="92" t="n">
        <f t="shared" si="9"/>
        <v>0.8471337579617835</v>
      </c>
    </row>
    <row r="22" spans="1:18">
      <c r="A22" s="13"/>
      <c r="B22" s="7"/>
      <c r="C22" s="8" t="s">
        <v>9</v>
      </c>
      <c r="D22" s="42" t="n">
        <v>222.0</v>
      </c>
      <c r="E22" s="44" t="n">
        <v>242.0</v>
      </c>
      <c r="F22" s="43" t="n">
        <v>258.0</v>
      </c>
      <c r="G22" s="42" t="n">
        <v>258.0</v>
      </c>
      <c r="H22" s="44" t="n">
        <v>259.0</v>
      </c>
      <c r="I22" s="43" t="n">
        <v>256.0</v>
      </c>
      <c r="J22" s="95" t="n">
        <f t="shared" si="2"/>
        <v>0.9987080103359174</v>
      </c>
      <c r="K22" s="48" t="n">
        <v>252.0</v>
      </c>
      <c r="L22" s="92" t="n">
        <f t="shared" si="4"/>
        <v>0.9767441860465116</v>
      </c>
      <c r="M22" s="48" t="n">
        <v>252.0</v>
      </c>
      <c r="N22" s="92" t="n">
        <f t="shared" si="7"/>
        <v>0.9767441860465116</v>
      </c>
      <c r="O22" s="48" t="n">
        <v>264.0</v>
      </c>
      <c r="P22" s="92" t="n">
        <f t="shared" si="8"/>
        <v>1.0232558139534884</v>
      </c>
      <c r="Q22" s="48" t="n">
        <v>241.0</v>
      </c>
      <c r="R22" s="92" t="n">
        <f t="shared" si="9"/>
        <v>0.9341085271317829</v>
      </c>
    </row>
    <row r="23" spans="1:18">
      <c r="A23" s="13"/>
      <c r="B23" s="7"/>
      <c r="C23" s="8" t="s">
        <v>10</v>
      </c>
      <c r="D23" s="42" t="n">
        <v>209.0</v>
      </c>
      <c r="E23" s="44" t="n">
        <v>213.0</v>
      </c>
      <c r="F23" s="43" t="n">
        <v>226.0</v>
      </c>
      <c r="G23" s="42" t="n">
        <v>221.0</v>
      </c>
      <c r="H23" s="44" t="n">
        <v>221.0</v>
      </c>
      <c r="I23" s="43" t="n">
        <v>217.0</v>
      </c>
      <c r="J23" s="95" t="n">
        <f t="shared" si="2"/>
        <v>0.971976401179941</v>
      </c>
      <c r="K23" s="48" t="n">
        <v>214.0</v>
      </c>
      <c r="L23" s="92" t="n">
        <f t="shared" si="4"/>
        <v>0.9469026548672567</v>
      </c>
      <c r="M23" s="48" t="n">
        <v>223.0</v>
      </c>
      <c r="N23" s="92" t="n">
        <f t="shared" si="7"/>
        <v>0.9867256637168141</v>
      </c>
      <c r="O23" s="48" t="n">
        <v>226.0</v>
      </c>
      <c r="P23" s="92" t="n">
        <f t="shared" si="8"/>
        <v>1.0</v>
      </c>
      <c r="Q23" s="48" t="n">
        <v>206.0</v>
      </c>
      <c r="R23" s="92" t="n">
        <f t="shared" si="9"/>
        <v>0.911504424778761</v>
      </c>
    </row>
    <row r="24" spans="1:18">
      <c r="A24" s="13"/>
      <c r="B24" s="7"/>
      <c r="C24" s="8" t="s">
        <v>11</v>
      </c>
      <c r="D24" s="42" t="n">
        <v>207.0</v>
      </c>
      <c r="E24" s="44" t="n">
        <v>189.0</v>
      </c>
      <c r="F24" s="43" t="n">
        <v>201.0</v>
      </c>
      <c r="G24" s="42" t="n">
        <v>208.0</v>
      </c>
      <c r="H24" s="44" t="n">
        <v>207.0</v>
      </c>
      <c r="I24" s="43" t="n">
        <v>218.0</v>
      </c>
      <c r="J24" s="95" t="n">
        <f t="shared" si="2"/>
        <v>1.0497512437810945</v>
      </c>
      <c r="K24" s="48" t="n">
        <v>214.0</v>
      </c>
      <c r="L24" s="92" t="n">
        <f t="shared" si="4"/>
        <v>1.064676616915423</v>
      </c>
      <c r="M24" s="48" t="n">
        <v>211.0</v>
      </c>
      <c r="N24" s="92" t="n">
        <f t="shared" si="7"/>
        <v>1.0497512437810945</v>
      </c>
      <c r="O24" s="48" t="n">
        <v>203.0</v>
      </c>
      <c r="P24" s="92" t="n">
        <f t="shared" si="8"/>
        <v>1.0099502487562189</v>
      </c>
      <c r="Q24" s="48" t="n">
        <v>197.0</v>
      </c>
      <c r="R24" s="92" t="n">
        <f t="shared" si="9"/>
        <v>0.9800995024875622</v>
      </c>
    </row>
    <row r="25" spans="1:18">
      <c r="A25" s="13"/>
      <c r="B25" s="7"/>
      <c r="C25" s="8" t="s">
        <v>12</v>
      </c>
      <c r="D25" s="42" t="n">
        <v>207.0</v>
      </c>
      <c r="E25" s="44" t="n">
        <v>203.0</v>
      </c>
      <c r="F25" s="43" t="n">
        <v>208.0</v>
      </c>
      <c r="G25" s="42" t="n">
        <v>220.0</v>
      </c>
      <c r="H25" s="44" t="n">
        <v>225.0</v>
      </c>
      <c r="I25" s="43" t="n">
        <v>227.0</v>
      </c>
      <c r="J25" s="95" t="n">
        <f t="shared" si="2"/>
        <v>1.0769230769230769</v>
      </c>
      <c r="K25" s="48" t="n">
        <v>245.0</v>
      </c>
      <c r="L25" s="92" t="n">
        <f t="shared" si="4"/>
        <v>1.1778846153846154</v>
      </c>
      <c r="M25" s="48" t="n">
        <v>231.0</v>
      </c>
      <c r="N25" s="92" t="n">
        <f t="shared" si="7"/>
        <v>1.1105769230769231</v>
      </c>
      <c r="O25" s="48" t="n">
        <v>238.0</v>
      </c>
      <c r="P25" s="92" t="n">
        <f t="shared" si="8"/>
        <v>1.1442307692307692</v>
      </c>
      <c r="Q25" s="48" t="n">
        <v>220.0</v>
      </c>
      <c r="R25" s="92" t="n">
        <f t="shared" si="9"/>
        <v>1.0576923076923077</v>
      </c>
    </row>
    <row r="26" spans="1:18">
      <c r="A26" s="610"/>
      <c r="B26" s="611"/>
      <c r="C26" s="8" t="s">
        <v>13</v>
      </c>
      <c r="D26" s="42" t="n">
        <v>161.0</v>
      </c>
      <c r="E26" s="44" t="n">
        <v>145.0</v>
      </c>
      <c r="F26" s="43" t="n">
        <v>155.0</v>
      </c>
      <c r="G26" s="42" t="n">
        <v>150.0</v>
      </c>
      <c r="H26" s="44" t="n">
        <v>153.0</v>
      </c>
      <c r="I26" s="43" t="n">
        <v>153.0</v>
      </c>
      <c r="J26" s="95" t="n">
        <f t="shared" si="2"/>
        <v>0.9806451612903225</v>
      </c>
      <c r="K26" s="48" t="n">
        <v>147.0</v>
      </c>
      <c r="L26" s="92" t="n">
        <f t="shared" si="4"/>
        <v>0.9483870967741935</v>
      </c>
      <c r="M26" s="48" t="n">
        <v>152.0</v>
      </c>
      <c r="N26" s="92" t="n">
        <f t="shared" si="7"/>
        <v>0.9806451612903225</v>
      </c>
      <c r="O26" s="48" t="n">
        <v>146.0</v>
      </c>
      <c r="P26" s="92" t="n">
        <f t="shared" si="8"/>
        <v>0.9419354838709677</v>
      </c>
      <c r="Q26" s="48" t="n">
        <v>132.0</v>
      </c>
      <c r="R26" s="92" t="n">
        <f t="shared" si="9"/>
        <v>0.8516129032258064</v>
      </c>
    </row>
    <row r="27" spans="1:18">
      <c r="A27" s="612"/>
      <c r="B27" s="9" t="s">
        <v>14</v>
      </c>
      <c r="C27" s="10"/>
      <c r="D27" s="67" t="n">
        <f t="shared" ref="D27:K27" si="10">SUM(D28:D34)</f>
        <v>1201.0</v>
      </c>
      <c r="E27" s="68" t="n">
        <f t="shared" si="10"/>
        <v>1243.0</v>
      </c>
      <c r="F27" s="51" t="n">
        <f t="shared" si="10"/>
        <v>1283.0</v>
      </c>
      <c r="G27" s="67" t="n">
        <f t="shared" si="10"/>
        <v>1294.0</v>
      </c>
      <c r="H27" s="68" t="n">
        <f t="shared" si="10"/>
        <v>1299.0</v>
      </c>
      <c r="I27" s="51" t="n">
        <f t="shared" si="10"/>
        <v>1304.0</v>
      </c>
      <c r="J27" s="96" t="n">
        <f t="shared" si="2"/>
        <v>1.0124707716289945</v>
      </c>
      <c r="K27" s="69" t="n">
        <f t="shared" si="10"/>
        <v>1310.0</v>
      </c>
      <c r="L27" s="93" t="n">
        <f t="shared" si="4"/>
        <v>1.0210444271239283</v>
      </c>
      <c r="M27" s="69" t="n">
        <f t="shared" ref="M27" si="11">SUM(M28:M34)</f>
        <v>1303.0</v>
      </c>
      <c r="N27" s="93" t="n">
        <f t="shared" si="7"/>
        <v>1.0155884645362432</v>
      </c>
      <c r="O27" s="69" t="n">
        <f t="shared" ref="O27" si="12">SUM(O28:O34)</f>
        <v>1300.0</v>
      </c>
      <c r="P27" s="93" t="n">
        <f t="shared" si="8"/>
        <v>1.0132501948558068</v>
      </c>
      <c r="Q27" s="69" t="n">
        <f t="shared" ref="Q27" si="13">SUM(Q28:Q34)</f>
        <v>1201.0</v>
      </c>
      <c r="R27" s="93" t="n">
        <f t="shared" si="9"/>
        <v>0.936087295401403</v>
      </c>
    </row>
    <row r="28" spans="1:18">
      <c r="A28" s="5"/>
      <c r="B28" s="11"/>
      <c r="C28" s="8" t="s">
        <v>7</v>
      </c>
      <c r="D28" s="42" t="n">
        <v>86.0</v>
      </c>
      <c r="E28" s="44" t="n">
        <v>102.0</v>
      </c>
      <c r="F28" s="43" t="n">
        <v>92.0</v>
      </c>
      <c r="G28" s="42" t="n">
        <v>95.0</v>
      </c>
      <c r="H28" s="44" t="n">
        <v>94.0</v>
      </c>
      <c r="I28" s="43" t="n">
        <v>93.0</v>
      </c>
      <c r="J28" s="95" t="n">
        <f t="shared" si="2"/>
        <v>1.0217391304347827</v>
      </c>
      <c r="K28" s="48" t="n">
        <v>94.0</v>
      </c>
      <c r="L28" s="92" t="n">
        <f t="shared" si="4"/>
        <v>1.0217391304347827</v>
      </c>
      <c r="M28" s="48" t="n">
        <v>88.0</v>
      </c>
      <c r="N28" s="92" t="n">
        <f t="shared" si="7"/>
        <v>0.9565217391304348</v>
      </c>
      <c r="O28" s="48" t="n">
        <v>85.0</v>
      </c>
      <c r="P28" s="92" t="n">
        <f t="shared" si="8"/>
        <v>0.9239130434782609</v>
      </c>
      <c r="Q28" s="48" t="n">
        <v>79.0</v>
      </c>
      <c r="R28" s="92" t="n">
        <f t="shared" si="9"/>
        <v>0.8586956521739131</v>
      </c>
    </row>
    <row r="29" spans="1:18">
      <c r="A29" s="5"/>
      <c r="B29" s="11"/>
      <c r="C29" s="8" t="s">
        <v>8</v>
      </c>
      <c r="D29" s="42" t="n">
        <v>125.0</v>
      </c>
      <c r="E29" s="44" t="n">
        <v>161.0</v>
      </c>
      <c r="F29" s="43" t="n">
        <v>154.0</v>
      </c>
      <c r="G29" s="42" t="n">
        <v>153.0</v>
      </c>
      <c r="H29" s="44" t="n">
        <v>151.0</v>
      </c>
      <c r="I29" s="43" t="n">
        <v>151.0</v>
      </c>
      <c r="J29" s="95" t="n">
        <f t="shared" si="2"/>
        <v>0.9848484848484848</v>
      </c>
      <c r="K29" s="48" t="n">
        <v>155.0</v>
      </c>
      <c r="L29" s="92" t="n">
        <f t="shared" si="4"/>
        <v>1.0064935064935066</v>
      </c>
      <c r="M29" s="48" t="n">
        <v>154.0</v>
      </c>
      <c r="N29" s="92" t="n">
        <f t="shared" si="7"/>
        <v>1.0</v>
      </c>
      <c r="O29" s="48" t="n">
        <v>146.0</v>
      </c>
      <c r="P29" s="92" t="n">
        <f t="shared" si="8"/>
        <v>0.948051948051948</v>
      </c>
      <c r="Q29" s="48" t="n">
        <v>133.0</v>
      </c>
      <c r="R29" s="92" t="n">
        <f t="shared" si="9"/>
        <v>0.8636363636363636</v>
      </c>
    </row>
    <row r="30" spans="1:18">
      <c r="A30" s="612"/>
      <c r="B30" s="613"/>
      <c r="C30" s="8" t="s">
        <v>9</v>
      </c>
      <c r="D30" s="42" t="n">
        <v>219.0</v>
      </c>
      <c r="E30" s="44" t="n">
        <v>241.0</v>
      </c>
      <c r="F30" s="43" t="n">
        <v>257.0</v>
      </c>
      <c r="G30" s="42" t="n">
        <v>258.0</v>
      </c>
      <c r="H30" s="44" t="n">
        <v>259.0</v>
      </c>
      <c r="I30" s="43" t="n">
        <v>256.0</v>
      </c>
      <c r="J30" s="95" t="n">
        <f t="shared" si="2"/>
        <v>1.0025940337224384</v>
      </c>
      <c r="K30" s="48" t="n">
        <v>252.0</v>
      </c>
      <c r="L30" s="92" t="n">
        <f t="shared" si="4"/>
        <v>0.980544747081712</v>
      </c>
      <c r="M30" s="48" t="n">
        <v>252.0</v>
      </c>
      <c r="N30" s="92" t="n">
        <f t="shared" si="7"/>
        <v>0.980544747081712</v>
      </c>
      <c r="O30" s="48" t="n">
        <v>264.0</v>
      </c>
      <c r="P30" s="92" t="n">
        <f t="shared" si="8"/>
        <v>1.027237354085603</v>
      </c>
      <c r="Q30" s="48" t="n">
        <v>241.0</v>
      </c>
      <c r="R30" s="92" t="n">
        <f t="shared" si="9"/>
        <v>0.9377431906614786</v>
      </c>
    </row>
    <row r="31" spans="1:18">
      <c r="A31" s="612"/>
      <c r="B31" s="613"/>
      <c r="C31" s="8" t="s">
        <v>10</v>
      </c>
      <c r="D31" s="42" t="n">
        <v>206.0</v>
      </c>
      <c r="E31" s="44" t="n">
        <v>210.0</v>
      </c>
      <c r="F31" s="43" t="n">
        <v>224.0</v>
      </c>
      <c r="G31" s="42" t="n">
        <v>219.0</v>
      </c>
      <c r="H31" s="44" t="n">
        <v>219.0</v>
      </c>
      <c r="I31" s="43" t="n">
        <v>215.0</v>
      </c>
      <c r="J31" s="95" t="n">
        <f t="shared" si="2"/>
        <v>0.9717261904761905</v>
      </c>
      <c r="K31" s="48" t="n">
        <v>212.0</v>
      </c>
      <c r="L31" s="92" t="n">
        <f t="shared" si="4"/>
        <v>0.9464285714285714</v>
      </c>
      <c r="M31" s="48" t="n">
        <v>221.0</v>
      </c>
      <c r="N31" s="92" t="n">
        <f t="shared" si="7"/>
        <v>0.9866071428571429</v>
      </c>
      <c r="O31" s="48" t="n">
        <v>224.0</v>
      </c>
      <c r="P31" s="92" t="n">
        <f t="shared" si="8"/>
        <v>1.0</v>
      </c>
      <c r="Q31" s="48" t="n">
        <v>205.0</v>
      </c>
      <c r="R31" s="92" t="n">
        <f t="shared" si="9"/>
        <v>0.9151785714285714</v>
      </c>
    </row>
    <row r="32" spans="1:18">
      <c r="A32" s="612"/>
      <c r="B32" s="613"/>
      <c r="C32" s="8" t="s">
        <v>11</v>
      </c>
      <c r="D32" s="42" t="n">
        <v>202.0</v>
      </c>
      <c r="E32" s="44" t="n">
        <v>186.0</v>
      </c>
      <c r="F32" s="43" t="n">
        <v>197.0</v>
      </c>
      <c r="G32" s="42" t="n">
        <v>203.0</v>
      </c>
      <c r="H32" s="44" t="n">
        <v>202.0</v>
      </c>
      <c r="I32" s="43" t="n">
        <v>213.0</v>
      </c>
      <c r="J32" s="95" t="n">
        <f t="shared" si="2"/>
        <v>1.0456852791878173</v>
      </c>
      <c r="K32" s="48" t="n">
        <v>209.0</v>
      </c>
      <c r="L32" s="92" t="n">
        <f t="shared" si="4"/>
        <v>1.0609137055837563</v>
      </c>
      <c r="M32" s="48" t="n">
        <v>208.0</v>
      </c>
      <c r="N32" s="92" t="n">
        <f t="shared" si="7"/>
        <v>1.0558375634517767</v>
      </c>
      <c r="O32" s="48" t="n">
        <v>200.0</v>
      </c>
      <c r="P32" s="92" t="n">
        <f t="shared" si="8"/>
        <v>1.015228426395939</v>
      </c>
      <c r="Q32" s="48" t="n">
        <v>194.0</v>
      </c>
      <c r="R32" s="92" t="n">
        <f t="shared" si="9"/>
        <v>0.9847715736040609</v>
      </c>
    </row>
    <row r="33" spans="1:18">
      <c r="A33" s="612"/>
      <c r="B33" s="613"/>
      <c r="C33" s="8" t="s">
        <v>12</v>
      </c>
      <c r="D33" s="42" t="n">
        <v>205.0</v>
      </c>
      <c r="E33" s="44" t="n">
        <v>202.0</v>
      </c>
      <c r="F33" s="43" t="n">
        <v>207.0</v>
      </c>
      <c r="G33" s="42" t="n">
        <v>219.0</v>
      </c>
      <c r="H33" s="44" t="n">
        <v>224.0</v>
      </c>
      <c r="I33" s="43" t="n">
        <v>226.0</v>
      </c>
      <c r="J33" s="95" t="n">
        <f t="shared" si="2"/>
        <v>1.077294685990338</v>
      </c>
      <c r="K33" s="48" t="n">
        <v>244.0</v>
      </c>
      <c r="L33" s="92" t="n">
        <f t="shared" si="4"/>
        <v>1.178743961352657</v>
      </c>
      <c r="M33" s="48" t="n">
        <v>230.0</v>
      </c>
      <c r="N33" s="92" t="n">
        <f t="shared" si="7"/>
        <v>1.1111111111111112</v>
      </c>
      <c r="O33" s="48" t="n">
        <v>237.0</v>
      </c>
      <c r="P33" s="92" t="n">
        <f t="shared" si="8"/>
        <v>1.144927536231884</v>
      </c>
      <c r="Q33" s="48" t="n">
        <v>219.0</v>
      </c>
      <c r="R33" s="92" t="n">
        <f t="shared" si="9"/>
        <v>1.0579710144927537</v>
      </c>
    </row>
    <row r="34" spans="1:18" ht="14.25" thickBot="1">
      <c r="A34" s="614"/>
      <c r="B34" s="615"/>
      <c r="C34" s="12" t="s">
        <v>13</v>
      </c>
      <c r="D34" s="45" t="n">
        <v>158.0</v>
      </c>
      <c r="E34" s="46" t="n">
        <v>141.0</v>
      </c>
      <c r="F34" s="47" t="n">
        <v>152.0</v>
      </c>
      <c r="G34" s="45" t="n">
        <v>147.0</v>
      </c>
      <c r="H34" s="46" t="n">
        <v>150.0</v>
      </c>
      <c r="I34" s="47" t="n">
        <v>150.0</v>
      </c>
      <c r="J34" s="97" t="n">
        <f t="shared" si="2"/>
        <v>0.9802631578947368</v>
      </c>
      <c r="K34" s="49" t="n">
        <v>144.0</v>
      </c>
      <c r="L34" s="94" t="n">
        <f t="shared" si="4"/>
        <v>0.9473684210526315</v>
      </c>
      <c r="M34" s="49" t="n">
        <v>150.0</v>
      </c>
      <c r="N34" s="94" t="n">
        <f t="shared" si="7"/>
        <v>0.9868421052631579</v>
      </c>
      <c r="O34" s="49" t="n">
        <v>144.0</v>
      </c>
      <c r="P34" s="94" t="n">
        <f t="shared" si="8"/>
        <v>0.9473684210526315</v>
      </c>
      <c r="Q34" s="49" t="n">
        <v>130.0</v>
      </c>
      <c r="R34" s="94" t="n">
        <f t="shared" si="9"/>
        <v>0.8552631578947368</v>
      </c>
    </row>
    <row r="35" spans="1:18" ht="13.5" customHeight="1">
      <c r="A35" s="607"/>
      <c r="B35" s="608"/>
      <c r="C35" s="26"/>
      <c r="D35" s="27"/>
      <c r="E35" s="27"/>
      <c r="F35" s="28"/>
      <c r="G35" s="606" t="s">
        <v>280</v>
      </c>
      <c r="H35" s="604"/>
      <c r="I35" s="604"/>
      <c r="J35" s="604"/>
      <c r="K35" s="701" t="s">
        <v>412</v>
      </c>
      <c r="L35" s="701"/>
      <c r="M35" s="701"/>
    </row>
    <row r="36" spans="1:18">
      <c r="A36" s="207"/>
      <c r="B36" s="600"/>
      <c r="C36" s="207"/>
      <c r="D36" s="207"/>
      <c r="E36" s="207"/>
      <c r="F36" s="207"/>
      <c r="G36" s="609"/>
      <c r="H36" s="609"/>
      <c r="I36" s="609"/>
      <c r="J36" s="609"/>
      <c r="K36" s="701"/>
      <c r="L36" s="701"/>
      <c r="M36" s="701"/>
    </row>
    <row r="37" spans="1:18">
      <c r="A37" s="414" t="s">
        <v>15</v>
      </c>
      <c r="B37" s="600"/>
      <c r="C37" s="207"/>
      <c r="D37" s="207"/>
      <c r="E37" s="207"/>
      <c r="F37" s="207"/>
      <c r="G37" s="207"/>
      <c r="H37" s="207"/>
      <c r="I37" s="207"/>
      <c r="J37" s="207"/>
    </row>
    <row r="38" spans="1:18" ht="14.25" thickBot="1">
      <c r="A38" s="207"/>
      <c r="B38" s="600"/>
      <c r="C38" s="207"/>
      <c r="D38" s="207"/>
      <c r="E38" s="207"/>
      <c r="F38" s="207"/>
      <c r="G38" s="207"/>
      <c r="H38" s="207"/>
      <c r="L38" s="36"/>
      <c r="R38" s="36" t="s">
        <v>64</v>
      </c>
    </row>
    <row r="39" spans="1:18" ht="23.25" thickBot="1">
      <c r="A39" s="30"/>
      <c r="B39" s="416"/>
      <c r="C39" s="417"/>
      <c r="D39" s="418" t="s">
        <v>263</v>
      </c>
      <c r="E39" s="829" t="s">
        <v>264</v>
      </c>
      <c r="F39" s="616" t="s">
        <v>258</v>
      </c>
      <c r="G39" s="419" t="s">
        <v>259</v>
      </c>
      <c r="H39" s="828" t="s">
        <v>260</v>
      </c>
      <c r="I39" s="829" t="s">
        <v>261</v>
      </c>
      <c r="J39" s="41" t="s">
        <v>107</v>
      </c>
      <c r="K39" s="827" t="s">
        <v>262</v>
      </c>
      <c r="L39" s="41" t="s">
        <v>108</v>
      </c>
      <c r="M39" s="827" t="s">
        <v>320</v>
      </c>
      <c r="N39" s="41" t="s">
        <v>108</v>
      </c>
      <c r="O39" s="827" t="s">
        <v>321</v>
      </c>
      <c r="P39" s="41" t="s">
        <v>108</v>
      </c>
      <c r="Q39" s="827" t="s">
        <v>322</v>
      </c>
      <c r="R39" s="41" t="s">
        <v>108</v>
      </c>
    </row>
    <row r="40" spans="1:18">
      <c r="A40" s="617" t="s">
        <v>78</v>
      </c>
      <c r="B40" s="572"/>
      <c r="C40" s="618"/>
      <c r="D40" s="71" t="n">
        <f>('2_サービス別給付費'!D12+'2_サービス別給付費'!D14+'2_サービス別給付費'!D17+'2_サービス別給付費'!D20+'2_サービス別給付費'!D23+'2_サービス別給付費'!D25+'2_サービス別給付費'!D27+'2_サービス別給付費'!D29+'2_サービス別給付費'!D32+'2_サービス別給付費'!D35+'2_サービス別給付費'!D38+'2_サービス別給付費'!D41+'2_サービス別給付費'!D43+'2_サービス別給付費'!D45+'2_サービス別給付費'!D50+'2_サービス別給付費'!D53+'2_サービス別給付費'!D57)</f>
        <v>32686.573999999997</v>
      </c>
      <c r="E40" s="70" t="n">
        <f>('2_サービス別給付費'!E12+'2_サービス別給付費'!E14+'2_サービス別給付費'!E17+'2_サービス別給付費'!E20+'2_サービス別給付費'!E23+'2_サービス別給付費'!E25+'2_サービス別給付費'!E27+'2_サービス別給付費'!E29+'2_サービス別給付費'!E32+'2_サービス別給付費'!E35+'2_サービス別給付費'!E38+'2_サービス別給付費'!E41+'2_サービス別給付費'!E43+'2_サービス別給付費'!E45+'2_サービス別給付費'!E50+'2_サービス別給付費'!E53+'2_サービス別給付費'!E57)</f>
        <v>40559.451</v>
      </c>
      <c r="F40" s="193" t="n">
        <f>('2_サービス別給付費'!F12+'2_サービス別給付費'!F14+'2_サービス別給付費'!F17+'2_サービス別給付費'!F20+'2_サービス別給付費'!F23+'2_サービス別給付費'!F25+'2_サービス別給付費'!F27+'2_サービス別給付費'!F29+'2_サービス別給付費'!F32+'2_サービス別給付費'!F35+'2_サービス別給付費'!F38+'2_サービス別給付費'!F41+'2_サービス別給付費'!F43+'2_サービス別給付費'!F45+'2_サービス別給付費'!F50+'2_サービス別給付費'!F53+'2_サービス別給付費'!F57)</f>
        <v>48702.740399999995</v>
      </c>
      <c r="G40" s="72" t="n">
        <f>('2_サービス別給付費'!G12+'2_サービス別給付費'!G14+'2_サービス別給付費'!G17+'2_サービス別給付費'!G20+'2_サービス別給付費'!G23+'2_サービス別給付費'!G25+'2_サービス別給付費'!G27+'2_サービス別給付費'!G29+'2_サービス別給付費'!G32+'2_サービス別給付費'!G35+'2_サービス別給付費'!G38+'2_サービス別給付費'!G41+'2_サービス別給付費'!G43+'2_サービス別給付費'!G45+'2_サービス別給付費'!G50+'2_サービス別給付費'!G53+'2_サービス別給付費'!G57)</f>
        <v>49465.0</v>
      </c>
      <c r="H40" s="70" t="n">
        <f>('2_サービス別給付費'!H12+'2_サービス別給付費'!H14+'2_サービス別給付費'!H17+'2_サービス別給付費'!H20+'2_サービス別給付費'!H23+'2_サービス別給付費'!H25+'2_サービス別給付費'!H27+'2_サービス別給付費'!H29+'2_サービス別給付費'!H32+'2_サービス別給付費'!H35+'2_サービス別給付費'!H38+'2_サービス別給付費'!H41+'2_サービス別給付費'!H43+'2_サービス別給付費'!H45+'2_サービス別給付費'!H50+'2_サービス別給付費'!H53+'2_サービス別給付費'!H57)</f>
        <v>50571.0</v>
      </c>
      <c r="I40" s="70" t="n">
        <f>('2_サービス別給付費'!I12+'2_サービス別給付費'!I14+'2_サービス別給付費'!I17+'2_サービス別給付費'!I20+'2_サービス別給付費'!I23+'2_サービス別給付費'!I25+'2_サービス別給付費'!I27+'2_サービス別給付費'!I29+'2_サービス別給付費'!I32+'2_サービス別給付費'!I35+'2_サービス別給付費'!I38+'2_サービス別給付費'!I41+'2_サービス別給付費'!I43+'2_サービス別給付費'!I45+'2_サービス別給付費'!I50+'2_サービス別給付費'!I53+'2_サービス別給付費'!I57)</f>
        <v>50269.0</v>
      </c>
      <c r="J40" s="98" t="n">
        <f>IFERROR((SUM(G40:I40)/3)/F40,"－")</f>
        <v>1.0287237690359343</v>
      </c>
      <c r="K40" s="72" t="n">
        <f>('2_サービス別給付費'!K12+'2_サービス別給付費'!K14+'2_サービス別給付費'!K17+'2_サービス別給付費'!K20+'2_サービス別給付費'!K23+'2_サービス別給付費'!K25+'2_サービス別給付費'!K27+'2_サービス別給付費'!K29+'2_サービス別給付費'!K32+'2_サービス別給付費'!K35+'2_サービス別給付費'!K38+'2_サービス別給付費'!K41+'2_サービス別給付費'!K43+'2_サービス別給付費'!K45+'2_サービス別給付費'!K50+'2_サービス別給付費'!K53+'2_サービス別給付費'!K57)</f>
        <v>47480.0</v>
      </c>
      <c r="L40" s="98" t="n">
        <f>IFERROR(K40/F40,"－")</f>
        <v>0.9748938070022853</v>
      </c>
      <c r="M40" s="836" t="n">
        <f>('2_サービス別給付費'!M12+'2_サービス別給付費'!M14+'2_サービス別給付費'!M17+'2_サービス別給付費'!M20+'2_サービス別給付費'!M23+'2_サービス別給付費'!M25+'2_サービス別給付費'!M27+'2_サービス別給付費'!M29+'2_サービス別給付費'!M32+'2_サービス別給付費'!M35+'2_サービス別給付費'!M38+'2_サービス別給付費'!M41+'2_サービス別給付費'!M43+'2_サービス別給付費'!M45+'2_サービス別給付費'!M50+'2_サービス別給付費'!M53+'2_サービス別給付費'!M57)</f>
        <v>44122.0</v>
      </c>
      <c r="N40" s="673" t="n">
        <f>IFERROR(M40/F40,"－")</f>
        <v>0.9059449147547354</v>
      </c>
      <c r="O40" s="836" t="n">
        <f>('2_サービス別給付費'!O12+'2_サービス別給付費'!O14+'2_サービス別給付費'!O17+'2_サービス別給付費'!O20+'2_サービス別給付費'!O23+'2_サービス別給付費'!O25+'2_サービス別給付費'!O27+'2_サービス別給付費'!O29+'2_サービス別給付費'!O32+'2_サービス別給付費'!O35+'2_サービス別給付費'!O38+'2_サービス別給付費'!O41+'2_サービス別給付費'!O43+'2_サービス別給付費'!O45+'2_サービス別給付費'!O50+'2_サービス別給付費'!O53+'2_サービス別給付費'!O57)</f>
        <v>40598.0</v>
      </c>
      <c r="P40" s="673" t="n">
        <f>IFERROR(O40/F40,"－")</f>
        <v>0.8335875900732683</v>
      </c>
      <c r="Q40" s="836" t="n">
        <f>('2_サービス別給付費'!Q12+'2_サービス別給付費'!Q14+'2_サービス別給付費'!Q17+'2_サービス別給付費'!Q20+'2_サービス別給付費'!Q23+'2_サービス別給付費'!Q25+'2_サービス別給付費'!Q27+'2_サービス別給付費'!Q29+'2_サービス別給付費'!Q32+'2_サービス別給付費'!Q35+'2_サービス別給付費'!Q38+'2_サービス別給付費'!Q41+'2_サービス別給付費'!Q43+'2_サービス別給付費'!Q45+'2_サービス別給付費'!Q50+'2_サービス別給付費'!Q53+'2_サービス別給付費'!Q57)</f>
        <v>37784.0</v>
      </c>
      <c r="R40" s="673" t="n">
        <f>IFERROR(Q40/F40,"－")</f>
        <v>0.7758085005007235</v>
      </c>
    </row>
    <row r="41" spans="1:18" ht="14.25" thickBot="1">
      <c r="A41" s="619" t="s">
        <v>80</v>
      </c>
      <c r="B41" s="620"/>
      <c r="C41" s="621"/>
      <c r="D41" s="73" t="n">
        <f>('2_サービス別給付費'!D47+'2_サービス別給付費'!D55)</f>
        <v>4410.324</v>
      </c>
      <c r="E41" s="74" t="n">
        <f>('2_サービス別給付費'!E47+'2_サービス別給付費'!E55)</f>
        <v>991.264</v>
      </c>
      <c r="F41" s="194" t="n">
        <f>('2_サービス別給付費'!F47+'2_サービス別給付費'!F55)</f>
        <v>3409.8599999999997</v>
      </c>
      <c r="G41" s="75" t="n">
        <f>('2_サービス別給付費'!G47+'2_サービス別給付費'!G55)</f>
        <v>3431.0</v>
      </c>
      <c r="H41" s="74" t="n">
        <f>('2_サービス別給付費'!H47+'2_サービス別給付費'!H55)</f>
        <v>3433.0</v>
      </c>
      <c r="I41" s="74" t="n">
        <f>('2_サービス別給付費'!I47+'2_サービス別給付費'!I55)</f>
        <v>3433.0</v>
      </c>
      <c r="J41" s="99" t="n">
        <f>IFERROR((SUM(G41:I41)/3)/F41,"－")</f>
        <v>1.0065906909179068</v>
      </c>
      <c r="K41" s="75" t="n">
        <f>('2_サービス別給付費'!K47+'2_サービス別給付費'!K55)</f>
        <v>917.0</v>
      </c>
      <c r="L41" s="99" t="n">
        <f>IFERROR(K41/F41,"－")</f>
        <v>0.2689259969617521</v>
      </c>
      <c r="M41" s="837" t="n">
        <f>('2_サービス別給付費'!M47+'2_サービス別給付費'!M55)</f>
        <v>917.0</v>
      </c>
      <c r="N41" s="497" t="n">
        <f t="shared" ref="N41:N42" si="14">IFERROR(M41/F41,"－")</f>
        <v>0.2689259969617521</v>
      </c>
      <c r="O41" s="837" t="n">
        <f>('2_サービス別給付費'!O47+'2_サービス別給付費'!O55)</f>
        <v>917.0</v>
      </c>
      <c r="P41" s="497" t="n">
        <f t="shared" ref="P41:P42" si="15">IFERROR(O41/F41,"－")</f>
        <v>0.2689259969617521</v>
      </c>
      <c r="Q41" s="837" t="n">
        <f>('2_サービス別給付費'!Q47+'2_サービス別給付費'!Q55)</f>
        <v>917.0</v>
      </c>
      <c r="R41" s="497" t="n">
        <f t="shared" ref="R41:R42" si="16">IFERROR(Q41/F41,"－")</f>
        <v>0.2689259969617521</v>
      </c>
    </row>
    <row r="42" spans="1:18" ht="14.25" thickBot="1">
      <c r="A42" s="622" t="s">
        <v>37</v>
      </c>
      <c r="B42" s="416"/>
      <c r="C42" s="623"/>
      <c r="D42" s="80" t="n">
        <f>SUM(D40:D41)</f>
        <v>37096.897999999994</v>
      </c>
      <c r="E42" s="81" t="n">
        <f t="shared" ref="E42:K42" si="17">SUM(E40:E41)</f>
        <v>41550.715000000004</v>
      </c>
      <c r="F42" s="195" t="n">
        <f t="shared" si="17"/>
        <v>52112.600399999996</v>
      </c>
      <c r="G42" s="83" t="n">
        <f t="shared" si="17"/>
        <v>52896.0</v>
      </c>
      <c r="H42" s="83" t="n">
        <f t="shared" si="17"/>
        <v>54004.0</v>
      </c>
      <c r="I42" s="81" t="n">
        <f t="shared" si="17"/>
        <v>53702.0</v>
      </c>
      <c r="J42" s="100" t="n">
        <f>IFERROR((SUM(G42:I42)/3)/F42,"－")</f>
        <v>1.0272755454360325</v>
      </c>
      <c r="K42" s="83" t="n">
        <f t="shared" si="17"/>
        <v>48397.0</v>
      </c>
      <c r="L42" s="100" t="n">
        <f>IFERROR(K42/F42,"－")</f>
        <v>0.9287005374615696</v>
      </c>
      <c r="M42" s="838" t="n">
        <f t="shared" ref="M42" si="18">SUM(M40:M41)</f>
        <v>45039.0</v>
      </c>
      <c r="N42" s="839" t="n">
        <f t="shared" si="14"/>
        <v>0.8642631466151132</v>
      </c>
      <c r="O42" s="838" t="n">
        <f t="shared" ref="O42" si="19">SUM(O40:O41)</f>
        <v>41515.0</v>
      </c>
      <c r="P42" s="839" t="n">
        <f t="shared" si="15"/>
        <v>0.7966403457387247</v>
      </c>
      <c r="Q42" s="838" t="n">
        <f t="shared" ref="Q42" si="20">SUM(Q40:Q41)</f>
        <v>38701.0</v>
      </c>
      <c r="R42" s="839" t="n">
        <f t="shared" si="16"/>
        <v>0.7426418889662625</v>
      </c>
    </row>
    <row r="43" spans="1:18" ht="13.5" customHeight="1">
      <c r="A43" s="422"/>
      <c r="B43" s="15"/>
      <c r="C43" s="624"/>
      <c r="D43" s="320"/>
      <c r="E43" s="609"/>
      <c r="F43" s="609"/>
      <c r="G43" s="606" t="s">
        <v>281</v>
      </c>
      <c r="H43" s="604"/>
      <c r="I43" s="604"/>
      <c r="J43" s="604"/>
      <c r="K43" s="701" t="s">
        <v>412</v>
      </c>
      <c r="L43" s="701"/>
      <c r="M43" s="701"/>
    </row>
    <row r="44" spans="1:18" ht="13.5" customHeight="1">
      <c r="A44" s="422"/>
      <c r="B44" s="15"/>
      <c r="C44" s="624"/>
      <c r="D44" s="320"/>
      <c r="E44" s="609"/>
      <c r="F44" s="609"/>
      <c r="G44" s="609"/>
      <c r="H44" s="609"/>
      <c r="I44" s="609"/>
      <c r="J44" s="609"/>
      <c r="K44" s="701"/>
      <c r="L44" s="701"/>
      <c r="M44" s="701"/>
    </row>
    <row r="45" spans="1:18" ht="13.5" customHeight="1">
      <c r="A45" s="422"/>
      <c r="B45" s="15"/>
      <c r="C45" s="624"/>
      <c r="D45" s="320"/>
      <c r="E45" s="609"/>
      <c r="F45" s="609"/>
      <c r="G45" s="609"/>
      <c r="H45" s="609"/>
      <c r="I45" s="609"/>
      <c r="J45" s="609"/>
    </row>
    <row r="46" spans="1:18" ht="13.5" customHeight="1">
      <c r="A46" s="422"/>
      <c r="B46" s="15"/>
      <c r="C46" s="624"/>
      <c r="D46" s="320"/>
      <c r="E46" s="609"/>
      <c r="F46" s="609"/>
      <c r="G46" s="609"/>
      <c r="H46" s="609"/>
      <c r="I46" s="609"/>
      <c r="J46" s="609"/>
    </row>
    <row r="47" spans="1:18" ht="13.5" customHeight="1">
      <c r="A47" s="422"/>
      <c r="B47" s="15"/>
      <c r="C47" s="624"/>
      <c r="D47" s="320"/>
      <c r="E47" s="609"/>
      <c r="F47" s="609"/>
      <c r="G47" s="609"/>
      <c r="H47" s="609"/>
      <c r="I47" s="609"/>
      <c r="J47" s="609"/>
    </row>
    <row r="48" spans="1:18" ht="13.5" customHeight="1">
      <c r="A48" s="422"/>
      <c r="B48" s="15"/>
      <c r="C48" s="624"/>
      <c r="D48" s="320"/>
      <c r="E48" s="609"/>
      <c r="F48" s="609"/>
      <c r="G48" s="609"/>
      <c r="H48" s="609"/>
      <c r="I48" s="609"/>
      <c r="J48" s="609"/>
    </row>
    <row r="49" spans="1:18" ht="13.5" customHeight="1">
      <c r="A49" s="422"/>
      <c r="B49" s="15"/>
      <c r="C49" s="624"/>
      <c r="D49" s="320"/>
      <c r="E49" s="609"/>
      <c r="F49" s="609"/>
      <c r="G49" s="609"/>
      <c r="H49" s="609"/>
      <c r="I49" s="609"/>
      <c r="J49" s="609"/>
    </row>
    <row r="50" spans="1:18" ht="13.5" customHeight="1">
      <c r="A50" s="422"/>
      <c r="B50" s="15"/>
      <c r="C50" s="624"/>
      <c r="D50" s="320"/>
      <c r="E50" s="609"/>
      <c r="F50" s="609"/>
      <c r="G50" s="609"/>
      <c r="H50" s="609"/>
      <c r="I50" s="609"/>
      <c r="J50" s="609"/>
    </row>
    <row r="51" spans="1:18" ht="13.5" customHeight="1">
      <c r="A51" s="422"/>
      <c r="B51" s="15"/>
      <c r="C51" s="624"/>
      <c r="D51" s="320"/>
      <c r="E51" s="609"/>
      <c r="F51" s="609"/>
      <c r="G51" s="609"/>
      <c r="H51" s="609"/>
      <c r="I51" s="609"/>
      <c r="J51" s="609"/>
    </row>
    <row r="52" spans="1:18" ht="13.5" customHeight="1">
      <c r="A52" s="422"/>
      <c r="B52" s="15"/>
      <c r="C52" s="624"/>
      <c r="D52" s="320"/>
      <c r="E52" s="609"/>
      <c r="F52" s="609"/>
      <c r="G52" s="609"/>
      <c r="H52" s="609"/>
      <c r="I52" s="609"/>
      <c r="J52" s="609"/>
    </row>
    <row r="53" spans="1:18" ht="13.5" customHeight="1">
      <c r="A53" s="422"/>
      <c r="B53" s="15"/>
      <c r="C53" s="624"/>
      <c r="D53" s="320"/>
      <c r="E53" s="609"/>
      <c r="F53" s="609"/>
      <c r="G53" s="609"/>
      <c r="H53" s="609"/>
      <c r="I53" s="609"/>
      <c r="J53" s="609"/>
    </row>
    <row r="54" spans="1:18" ht="13.5" customHeight="1">
      <c r="A54" s="422"/>
      <c r="B54" s="15"/>
      <c r="C54" s="624"/>
      <c r="D54" s="320"/>
      <c r="E54" s="609"/>
      <c r="F54" s="609"/>
      <c r="G54" s="609"/>
      <c r="H54" s="609"/>
      <c r="I54" s="609"/>
      <c r="J54" s="609"/>
    </row>
    <row r="55" spans="1:18" ht="16.5" customHeight="1">
      <c r="A55" s="422"/>
      <c r="B55" s="15"/>
      <c r="C55" s="624"/>
      <c r="D55" s="320"/>
      <c r="E55" s="609"/>
      <c r="F55" s="609"/>
      <c r="G55" s="609"/>
      <c r="H55" s="609"/>
      <c r="I55" s="609"/>
      <c r="J55" s="609"/>
    </row>
    <row r="56" spans="1:18" ht="13.5" customHeight="1">
      <c r="A56" s="422"/>
      <c r="B56" s="15"/>
      <c r="C56" s="624"/>
      <c r="D56" s="320"/>
      <c r="E56" s="609"/>
      <c r="F56" s="609"/>
      <c r="G56" s="609"/>
      <c r="H56" s="609"/>
      <c r="I56" s="609"/>
      <c r="J56" s="609"/>
    </row>
    <row r="57" spans="1:18" ht="13.5" customHeight="1">
      <c r="A57" s="422"/>
      <c r="B57" s="15"/>
      <c r="C57" s="624"/>
      <c r="D57" s="320"/>
      <c r="E57" s="609"/>
      <c r="F57" s="609"/>
      <c r="G57" s="609"/>
      <c r="H57" s="609"/>
      <c r="I57" s="609"/>
      <c r="J57" s="609"/>
    </row>
    <row r="58" spans="1:18">
      <c r="A58" s="625"/>
      <c r="B58" s="506"/>
      <c r="C58" s="624"/>
      <c r="D58" s="609"/>
      <c r="E58" s="609"/>
      <c r="F58" s="609"/>
      <c r="G58" s="609"/>
      <c r="H58" s="609"/>
      <c r="I58" s="609"/>
      <c r="J58" s="609"/>
    </row>
    <row r="59" spans="1:18">
      <c r="A59" s="22" t="s">
        <v>38</v>
      </c>
      <c r="B59" s="600"/>
      <c r="C59" s="207"/>
      <c r="D59" s="207"/>
      <c r="E59" s="207"/>
      <c r="F59" s="207"/>
      <c r="G59" s="207"/>
      <c r="H59" s="207"/>
      <c r="I59" s="207"/>
      <c r="J59" s="207"/>
    </row>
    <row r="60" spans="1:18" ht="14.25" thickBot="1">
      <c r="A60" s="207"/>
      <c r="B60" s="600"/>
      <c r="C60" s="207"/>
      <c r="D60" s="207"/>
      <c r="E60" s="207"/>
      <c r="F60" s="207"/>
      <c r="G60" s="207"/>
      <c r="H60" s="207"/>
      <c r="L60" s="36"/>
      <c r="R60" s="36" t="s">
        <v>64</v>
      </c>
    </row>
    <row r="61" spans="1:18" ht="23.25" thickBot="1">
      <c r="A61" s="30"/>
      <c r="B61" s="416"/>
      <c r="C61" s="417"/>
      <c r="D61" s="418" t="s">
        <v>263</v>
      </c>
      <c r="E61" s="829" t="s">
        <v>264</v>
      </c>
      <c r="F61" s="829" t="s">
        <v>258</v>
      </c>
      <c r="G61" s="827" t="s">
        <v>259</v>
      </c>
      <c r="H61" s="828" t="s">
        <v>260</v>
      </c>
      <c r="I61" s="829" t="s">
        <v>261</v>
      </c>
      <c r="J61" s="41" t="s">
        <v>107</v>
      </c>
      <c r="K61" s="827" t="s">
        <v>262</v>
      </c>
      <c r="L61" s="41" t="s">
        <v>108</v>
      </c>
      <c r="M61" s="827" t="s">
        <v>320</v>
      </c>
      <c r="N61" s="41" t="s">
        <v>108</v>
      </c>
      <c r="O61" s="827" t="s">
        <v>321</v>
      </c>
      <c r="P61" s="41" t="s">
        <v>108</v>
      </c>
      <c r="Q61" s="827" t="s">
        <v>322</v>
      </c>
      <c r="R61" s="41" t="s">
        <v>108</v>
      </c>
    </row>
    <row r="62" spans="1:18">
      <c r="A62" s="626" t="s">
        <v>78</v>
      </c>
      <c r="B62" s="29"/>
      <c r="C62" s="627"/>
      <c r="D62" s="196" t="n">
        <f>('2_サービス別給付費'!D66+'2_サービス別給付費'!D69+'2_サービス別給付費'!D72+'2_サービス別給付費'!D75+'2_サービス別給付費'!D78+
 '2_サービス別給付費'!D80+'2_サービス別給付費'!D83+'2_サービス別給付費'!D86+'2_サービス別給付費'!D89+'2_サービス別給付費'!D92+
 '2_サービス別給付費'!D95+'2_サービス別給付費'!D98+'2_サービス別給付費'!D100+'2_サービス別給付費'!D102+'2_サービス別給付費'!D107+
 '2_サービス別給付費'!D109+'2_サービス別給付費'!D114+'2_サービス別給付費'!D117+'2_サービス別給付費'!D125+'2_サービス別給付費'!D111+'2_サービス別給付費'!D136)</f>
        <v>859952.02</v>
      </c>
      <c r="E62" s="197" t="n">
        <f>('2_サービス別給付費'!E66+'2_サービス別給付費'!E69+'2_サービス別給付費'!E72+'2_サービス別給付費'!E75+'2_サービス別給付費'!E78+
 '2_サービス別給付費'!E80+'2_サービス別給付費'!E83+'2_サービス別給付費'!E86+'2_サービス別給付費'!E89+'2_サービス別給付費'!E92+
 '2_サービス別給付費'!E95+'2_サービス別給付費'!E98+'2_サービス別給付費'!E100+'2_サービス別給付費'!E102+'2_サービス別給付費'!E107+
 '2_サービス別給付費'!E109+'2_サービス別給付費'!E114+'2_サービス別給付費'!E117+'2_サービス別給付費'!E125+'2_サービス別給付費'!E111+'2_サービス別給付費'!E136)</f>
        <v>833744.085</v>
      </c>
      <c r="F62" s="198" t="n">
        <f>('2_サービス別給付費'!F66+'2_サービス別給付費'!F69+'2_サービス別給付費'!F72+'2_サービス別給付費'!F75+'2_サービス別給付費'!F78+
 '2_サービス別給付費'!F80+'2_サービス別給付費'!F83+'2_サービス別給付費'!F86+'2_サービス別給付費'!F89+'2_サービス別給付費'!F92+
 '2_サービス別給付費'!F95+'2_サービス別給付費'!F98+'2_サービス別給付費'!F100+'2_サービス別給付費'!F102+'2_サービス別給付費'!F107+
 '2_サービス別給付費'!F109+'2_サービス別給付費'!F114+'2_サービス別給付費'!F117+'2_サービス別給付費'!F125+'2_サービス別給付費'!F111+'2_サービス別給付費'!F136)</f>
        <v>948347.7144</v>
      </c>
      <c r="G62" s="196" t="n">
        <f>('2_サービス別給付費'!G66+'2_サービス別給付費'!G69+'2_サービス別給付費'!G72+'2_サービス別給付費'!G75+'2_サービス別給付費'!G78+
 '2_サービス別給付費'!G80+'2_サービス別給付費'!G83+'2_サービス別給付費'!G86+'2_サービス別給付費'!G89+'2_サービス別給付費'!G92+
 '2_サービス別給付費'!G95+'2_サービス別給付費'!G98+'2_サービス別給付費'!G100+'2_サービス別給付費'!G102+'2_サービス別給付費'!G107+
 '2_サービス別給付費'!G109+'2_サービス別給付費'!G114+'2_サービス別給付費'!G117+'2_サービス別給付費'!G125+'2_サービス別給付費'!G111+'2_サービス別給付費'!G136)</f>
        <v>958525.0</v>
      </c>
      <c r="H62" s="199" t="n">
        <f>('2_サービス別給付費'!H66+'2_サービス別給付費'!H69+'2_サービス別給付費'!H72+'2_サービス別給付費'!H75+'2_サービス別給付費'!H78+
 '2_サービス別給付費'!H80+'2_サービス別給付費'!H83+'2_サービス別給付費'!H86+'2_サービス別給付費'!H89+'2_サービス別給付費'!H92+
 '2_サービス別給付費'!H95+'2_サービス別給付費'!H98+'2_サービス別給付費'!H100+'2_サービス別給付費'!H102+'2_サービス別給付費'!H107+
 '2_サービス別給付費'!H109+'2_サービス別給付費'!H114+'2_サービス別給付費'!H117+'2_サービス別給付費'!H125+'2_サービス別給付費'!H111+'2_サービス別給付費'!H136)</f>
        <v>970132.0</v>
      </c>
      <c r="I62" s="197" t="n">
        <f>('2_サービス別給付費'!I66+'2_サービス別給付費'!I69+'2_サービス別給付費'!I72+'2_サービス別給付費'!I75+'2_サービス別給付費'!I78+
 '2_サービス別給付費'!I80+'2_サービス別給付費'!I83+'2_サービス別給付費'!I86+'2_サービス別給付費'!I89+'2_サービス別給付費'!I92+
 '2_サービス別給付費'!I95+'2_サービス別給付費'!I98+'2_サービス別給付費'!I100+'2_サービス別給付費'!I102+'2_サービス別給付費'!I107+
 '2_サービス別給付費'!I109+'2_サービス別給付費'!I114+'2_サービス別給付費'!I117+'2_サービス別給付費'!I125+'2_サービス別給付費'!I111+'2_サービス別給付費'!I136)</f>
        <v>980717.0</v>
      </c>
      <c r="J62" s="101" t="n">
        <f>IFERROR((SUM(G62:I62)/3)/F62,"－")</f>
        <v>1.0226115575624077</v>
      </c>
      <c r="K62" s="196" t="n">
        <f>('2_サービス別給付費'!K66+'2_サービス別給付費'!K69+'2_サービス別給付費'!K72+'2_サービス別給付費'!K75+'2_サービス別給付費'!K78+
 '2_サービス別給付費'!K80+'2_サービス別給付費'!K83+'2_サービス別給付費'!K86+'2_サービス別給付費'!K89+'2_サービス別給付費'!K92+
 '2_サービス別給付費'!K95+'2_サービス別給付費'!K98+'2_サービス別給付費'!K100+'2_サービス別給付費'!K102+'2_サービス別給付費'!K107+
 '2_サービス別給付費'!K109+'2_サービス別給付費'!K114+'2_サービス別給付費'!K117+'2_サービス別給付費'!K125+'2_サービス別給付費'!K111+'2_サービス別給付費'!K136)</f>
        <v>989709.0</v>
      </c>
      <c r="L62" s="101" t="n">
        <f>IFERROR(K62/F62,"－")</f>
        <v>1.0436140510194285</v>
      </c>
      <c r="M62" s="840" t="n">
        <f>('2_サービス別給付費'!M66+'2_サービス別給付費'!M69+'2_サービス別給付費'!M72+'2_サービス別給付費'!M75+'2_サービス別給付費'!M78+
 '2_サービス別給付費'!M80+'2_サービス別給付費'!M83+'2_サービス別給付費'!M86+'2_サービス別給付費'!M89+'2_サービス別給付費'!M92+
 '2_サービス別給付費'!M95+'2_サービス別給付費'!M98+'2_サービス別給付費'!M100+'2_サービス別給付費'!M102+'2_サービス別給付費'!M107+
 '2_サービス別給付費'!M109+'2_サービス別給付費'!M114+'2_サービス別給付費'!M117+'2_サービス別給付費'!M125+'2_サービス別給付費'!M111+'2_サービス別給付費'!M136)</f>
        <v>904104.0</v>
      </c>
      <c r="N62" s="841" t="n">
        <f>IFERROR(M62/F62,"－")</f>
        <v>0.9533465270931852</v>
      </c>
      <c r="O62" s="840" t="n">
        <f>('2_サービス別給付費'!O66+'2_サービス別給付費'!O69+'2_サービス別給付費'!O72+'2_サービス別給付費'!O75+'2_サービス別給付費'!O78+
 '2_サービス別給付費'!O80+'2_サービス別給付費'!O83+'2_サービス別給付費'!O86+'2_サービス別給付費'!O89+'2_サービス別給付費'!O92+
 '2_サービス別給付費'!O95+'2_サービス別給付費'!O98+'2_サービス別給付費'!O100+'2_サービス別給付費'!O102+'2_サービス別給付費'!O107+
 '2_サービス別給付費'!O109+'2_サービス別給付費'!O114+'2_サービス別給付費'!O117+'2_サービス別給付費'!O125+'2_サービス別給付費'!O111+'2_サービス別給付費'!O136)</f>
        <v>849291.0</v>
      </c>
      <c r="P62" s="841" t="n">
        <f>IFERROR(O62/F62,"－")</f>
        <v>0.8955481065690434</v>
      </c>
      <c r="Q62" s="840" t="n">
        <f>('2_サービス別給付費'!Q66+'2_サービス別給付費'!Q69+'2_サービス別給付費'!Q72+'2_サービス別給付費'!Q75+'2_サービス別給付費'!Q78+
 '2_サービス別給付費'!Q80+'2_サービス別給付費'!Q83+'2_サービス別給付費'!Q86+'2_サービス別給付費'!Q89+'2_サービス別給付費'!Q92+
 '2_サービス別給付費'!Q95+'2_サービス別給付費'!Q98+'2_サービス別給付費'!Q100+'2_サービス別給付費'!Q102+'2_サービス別給付費'!Q107+
 '2_サービス別給付費'!Q109+'2_サービス別給付費'!Q114+'2_サービス別給付費'!Q117+'2_サービス別給付費'!Q125+'2_サービス別給付費'!Q111+'2_サービス別給付費'!Q136)</f>
        <v>786768.0</v>
      </c>
      <c r="R62" s="841" t="n">
        <f>IFERROR(Q62/F62,"－")</f>
        <v>0.8296197566077036</v>
      </c>
    </row>
    <row r="63" spans="1:18">
      <c r="A63" s="39" t="s">
        <v>79</v>
      </c>
      <c r="B63" s="580"/>
      <c r="C63" s="628"/>
      <c r="D63" s="76" t="n">
        <f>('2_サービス別給付費'!D104+'2_サービス別給付費'!D119+'2_サービス別給付費'!D121)</f>
        <v>286592.313</v>
      </c>
      <c r="E63" s="78" t="n">
        <f>('2_サービス別給付費'!E104+'2_サービス別給付費'!E119+'2_サービス別給付費'!E121)</f>
        <v>290500.891</v>
      </c>
      <c r="F63" s="79" t="n">
        <f>('2_サービス別給付費'!F104+'2_サービス別給付費'!F119+'2_サービス別給付費'!F121)</f>
        <v>303738.024</v>
      </c>
      <c r="G63" s="76" t="n">
        <f>('2_サービス別給付費'!G104+'2_サービス別給付費'!G119+'2_サービス別給付費'!G121)</f>
        <v>303882.0</v>
      </c>
      <c r="H63" s="77" t="n">
        <f>('2_サービス別給付費'!H104+'2_サービス別給付費'!H119+'2_サービス別給付費'!H121)</f>
        <v>300532.0</v>
      </c>
      <c r="I63" s="78" t="n">
        <f>('2_サービス別給付費'!I104+'2_サービス別給付費'!I119+'2_サービス別給付費'!I121)</f>
        <v>303659.0</v>
      </c>
      <c r="J63" s="102" t="n">
        <f>IFERROR((SUM(G63:I63)/3)/F63,"－")</f>
        <v>0.9965528714969187</v>
      </c>
      <c r="K63" s="76" t="n">
        <f>('2_サービス別給付費'!K104+'2_サービス別給付費'!K119+'2_サービス別給付費'!K121)</f>
        <v>300709.0</v>
      </c>
      <c r="L63" s="102" t="n">
        <f>IFERROR(K63/F63,"－")</f>
        <v>0.9900275113398381</v>
      </c>
      <c r="M63" s="449" t="n">
        <f>('2_サービス別給付費'!M104+'2_サービス別給付費'!M119+'2_サービス別給付費'!M121)</f>
        <v>258657.0</v>
      </c>
      <c r="N63" s="452" t="n">
        <f t="shared" ref="N63:N65" si="21">IFERROR(M63/F63,"－")</f>
        <v>0.8515792543642808</v>
      </c>
      <c r="O63" s="449" t="n">
        <f>('2_サービス別給付費'!O104+'2_サービス別給付費'!O119+'2_サービス別給付費'!O121)</f>
        <v>240146.0</v>
      </c>
      <c r="P63" s="452" t="n">
        <f t="shared" ref="P63:P65" si="22">IFERROR(O63/F63,"－")</f>
        <v>0.790635287730719</v>
      </c>
      <c r="Q63" s="449" t="n">
        <f>('2_サービス別給付費'!Q104+'2_サービス別給付費'!Q119+'2_サービス別給付費'!Q121)</f>
        <v>240146.0</v>
      </c>
      <c r="R63" s="452" t="n">
        <f t="shared" ref="R63:R65" si="23">IFERROR(Q63/F63,"－")</f>
        <v>0.790635287730719</v>
      </c>
    </row>
    <row r="64" spans="1:18" ht="14.25" thickBot="1">
      <c r="A64" s="629" t="s">
        <v>62</v>
      </c>
      <c r="B64" s="630"/>
      <c r="C64" s="631"/>
      <c r="D64" s="200" t="n">
        <f>('2_サービス別給付費'!D123+'2_サービス別給付費'!D128+'2_サービス別給付費'!D130+'2_サービス別給付費'!D132+'2_サービス別給付費'!D134)</f>
        <v>1133144.276</v>
      </c>
      <c r="E64" s="201" t="n">
        <f>('2_サービス別給付費'!E123+'2_サービス別給付費'!E128+'2_サービス別給付費'!E130+'2_サービス別給付費'!E132+'2_サービス別給付費'!E134)</f>
        <v>1136885.958</v>
      </c>
      <c r="F64" s="202" t="n">
        <f>('2_サービス別給付費'!F123+'2_サービス別給付費'!F128+'2_サービス別給付費'!F130+'2_サービス別給付費'!F132+'2_サービス別給付費'!F134)</f>
        <v>1208824.992</v>
      </c>
      <c r="G64" s="200" t="n">
        <f>('2_サービス別給付費'!G123+'2_サービス別給付費'!G128+'2_サービス別給付費'!G130+'2_サービス別給付費'!G132+'2_サービス別給付費'!G134)</f>
        <v>1249164.0</v>
      </c>
      <c r="H64" s="203" t="n">
        <f>('2_サービス別給付費'!H123+'2_サービス別給付費'!H128+'2_サービス別給付費'!H130+'2_サービス別給付費'!H132+'2_サービス別給付費'!H134)</f>
        <v>1249858.0</v>
      </c>
      <c r="I64" s="201" t="n">
        <f>('2_サービス別給付費'!I123+'2_サービス別給付費'!I128+'2_サービス別給付費'!I130+'2_サービス別給付費'!I132+'2_サービス別給付費'!I134)</f>
        <v>1249858.0</v>
      </c>
      <c r="J64" s="103" t="n">
        <f>IFERROR((SUM(G64:I64)/3)/F64,"－")</f>
        <v>1.0337531693476658</v>
      </c>
      <c r="K64" s="201" t="n">
        <f>('2_サービス別給付費'!K123+'2_サービス別給付費'!K128+'2_サービス別給付費'!K130+'2_サービス別給付費'!K132+'2_サービス別給付費'!K134)</f>
        <v>1260671.0</v>
      </c>
      <c r="L64" s="104" t="n">
        <f>IFERROR(K64/F64,"－")</f>
        <v>1.0428895897612283</v>
      </c>
      <c r="M64" s="547" t="n">
        <f>('2_サービス別給付費'!M123+'2_サービス別給付費'!M128+'2_サービス別給付費'!M130+'2_サービス別給付費'!M132+'2_サービス別給付費'!M134)</f>
        <v>1146705.0</v>
      </c>
      <c r="N64" s="842" t="n">
        <f t="shared" si="21"/>
        <v>0.9486112610087399</v>
      </c>
      <c r="O64" s="547" t="n">
        <f>('2_サービス別給付費'!O123+'2_サービス別給付費'!O128+'2_サービス別給付費'!O130+'2_サービス別給付費'!O132+'2_サービス別給付費'!O134)</f>
        <v>1024011.0</v>
      </c>
      <c r="P64" s="842" t="n">
        <f t="shared" si="22"/>
        <v>0.847112697683206</v>
      </c>
      <c r="Q64" s="547" t="n">
        <f>('2_サービス別給付費'!Q123+'2_サービス別給付費'!Q128+'2_サービス別給付費'!Q130+'2_サービス別給付費'!Q132+'2_サービス別給付費'!Q134)</f>
        <v>967981.0</v>
      </c>
      <c r="R64" s="842" t="n">
        <f t="shared" si="23"/>
        <v>0.8007619021827768</v>
      </c>
    </row>
    <row r="65" spans="1:18" ht="14.25" thickBot="1">
      <c r="A65" s="622" t="s">
        <v>37</v>
      </c>
      <c r="B65" s="416"/>
      <c r="C65" s="623"/>
      <c r="D65" s="80" t="n">
        <f>SUM(D62:D64)</f>
        <v>2279688.609</v>
      </c>
      <c r="E65" s="81" t="n">
        <f t="shared" ref="E65:I65" si="24">SUM(E62:E64)</f>
        <v>2261130.9340000004</v>
      </c>
      <c r="F65" s="82" t="n">
        <f>SUM(F62:F64)</f>
        <v>2460910.7304000002</v>
      </c>
      <c r="G65" s="80" t="n">
        <f t="shared" si="24"/>
        <v>2511571.0</v>
      </c>
      <c r="H65" s="83" t="n">
        <f t="shared" si="24"/>
        <v>2520522.0</v>
      </c>
      <c r="I65" s="81" t="n">
        <f t="shared" si="24"/>
        <v>2534234.0</v>
      </c>
      <c r="J65" s="100" t="n">
        <f>IFERROR((SUM(G65:I65)/3)/F65,"－")</f>
        <v>1.024868138792687</v>
      </c>
      <c r="K65" s="83" t="n">
        <f>SUM(K62:K64)</f>
        <v>2551089.0</v>
      </c>
      <c r="L65" s="100" t="n">
        <f>IFERROR(K65/F65,"－")</f>
        <v>1.0366442668911204</v>
      </c>
      <c r="M65" s="838" t="n">
        <f>SUM(M62:M64)</f>
        <v>2309466.0</v>
      </c>
      <c r="N65" s="839" t="n">
        <f t="shared" si="21"/>
        <v>0.9384598845747711</v>
      </c>
      <c r="O65" s="838" t="n">
        <f>SUM(O62:O64)</f>
        <v>2113448.0</v>
      </c>
      <c r="P65" s="839" t="n">
        <f t="shared" si="22"/>
        <v>0.8588072593988312</v>
      </c>
      <c r="Q65" s="838" t="n">
        <f>SUM(Q62:Q64)</f>
        <v>1994895.0</v>
      </c>
      <c r="R65" s="839" t="n">
        <f t="shared" si="23"/>
        <v>0.8106328179062987</v>
      </c>
    </row>
    <row r="66" spans="1:18" ht="13.5" customHeight="1">
      <c r="A66" s="625"/>
      <c r="B66" s="506"/>
      <c r="C66" s="624"/>
      <c r="D66" s="609"/>
      <c r="E66" s="609"/>
      <c r="F66" s="609"/>
      <c r="G66" s="606" t="s">
        <v>282</v>
      </c>
      <c r="H66" s="604"/>
      <c r="I66" s="604"/>
      <c r="J66" s="604"/>
      <c r="K66" s="702" t="s">
        <v>412</v>
      </c>
      <c r="L66" s="702"/>
      <c r="M66" s="702"/>
    </row>
    <row r="67" spans="1:18">
      <c r="A67" s="625"/>
      <c r="B67" s="506"/>
      <c r="C67" s="624"/>
      <c r="D67" s="609"/>
      <c r="E67" s="609"/>
      <c r="F67" s="609"/>
      <c r="G67" s="609"/>
      <c r="H67" s="609"/>
      <c r="I67" s="609"/>
      <c r="J67" s="609"/>
      <c r="K67" s="702"/>
      <c r="L67" s="702"/>
      <c r="M67" s="702"/>
    </row>
    <row r="68" spans="1:18">
      <c r="A68" s="625"/>
      <c r="B68" s="506"/>
      <c r="C68" s="624"/>
      <c r="D68" s="609"/>
      <c r="E68" s="609"/>
      <c r="F68" s="609"/>
      <c r="G68" s="609"/>
      <c r="H68" s="609"/>
      <c r="I68" s="609"/>
      <c r="J68" s="609"/>
    </row>
    <row r="69" spans="1:18">
      <c r="A69" s="625"/>
      <c r="B69" s="506"/>
      <c r="C69" s="624"/>
      <c r="D69" s="609"/>
      <c r="E69" s="609"/>
      <c r="F69" s="609"/>
      <c r="G69" s="609"/>
      <c r="H69" s="609"/>
      <c r="I69" s="609"/>
      <c r="J69" s="609"/>
    </row>
    <row r="70" spans="1:18">
      <c r="A70" s="625"/>
      <c r="B70" s="506"/>
      <c r="C70" s="624"/>
      <c r="D70" s="609"/>
      <c r="E70" s="609"/>
      <c r="F70" s="609"/>
      <c r="G70" s="609"/>
      <c r="H70" s="609"/>
      <c r="I70" s="609"/>
      <c r="J70" s="609"/>
    </row>
    <row r="71" spans="1:18">
      <c r="A71" s="625"/>
      <c r="B71" s="506"/>
      <c r="C71" s="624"/>
      <c r="D71" s="609"/>
      <c r="E71" s="609"/>
      <c r="F71" s="609"/>
      <c r="G71" s="609"/>
      <c r="H71" s="609"/>
      <c r="I71" s="609"/>
      <c r="J71" s="609"/>
    </row>
    <row r="72" spans="1:18">
      <c r="A72" s="625"/>
      <c r="B72" s="506"/>
      <c r="C72" s="624"/>
      <c r="D72" s="609"/>
      <c r="E72" s="609"/>
      <c r="F72" s="609"/>
      <c r="G72" s="609"/>
      <c r="H72" s="609"/>
      <c r="I72" s="609"/>
      <c r="J72" s="609"/>
    </row>
    <row r="73" spans="1:18">
      <c r="A73" s="625"/>
      <c r="B73" s="506"/>
      <c r="C73" s="624"/>
      <c r="D73" s="609"/>
      <c r="E73" s="609"/>
      <c r="F73" s="609"/>
      <c r="G73" s="609"/>
      <c r="H73" s="609"/>
      <c r="I73" s="609"/>
      <c r="J73" s="609"/>
    </row>
    <row r="74" spans="1:18">
      <c r="A74" s="625"/>
      <c r="B74" s="506"/>
      <c r="C74" s="624"/>
      <c r="D74" s="609"/>
      <c r="E74" s="609"/>
      <c r="F74" s="609"/>
      <c r="G74" s="609"/>
      <c r="H74" s="609"/>
      <c r="I74" s="609"/>
      <c r="J74" s="609"/>
    </row>
    <row r="75" spans="1:18">
      <c r="A75" s="625"/>
      <c r="B75" s="506"/>
      <c r="C75" s="624"/>
      <c r="D75" s="609"/>
      <c r="E75" s="609"/>
      <c r="F75" s="609"/>
      <c r="G75" s="609"/>
      <c r="H75" s="609"/>
      <c r="I75" s="609"/>
      <c r="J75" s="609"/>
    </row>
    <row r="76" spans="1:18">
      <c r="A76" s="625"/>
      <c r="B76" s="506"/>
      <c r="C76" s="624"/>
      <c r="D76" s="609"/>
      <c r="E76" s="609"/>
      <c r="F76" s="609"/>
      <c r="G76" s="609"/>
      <c r="H76" s="609"/>
      <c r="I76" s="609"/>
      <c r="J76" s="609"/>
    </row>
    <row r="77" spans="1:18">
      <c r="A77" s="625"/>
      <c r="B77" s="506"/>
      <c r="C77" s="624"/>
      <c r="D77" s="609"/>
      <c r="E77" s="609"/>
      <c r="F77" s="609"/>
      <c r="G77" s="609"/>
      <c r="H77" s="609"/>
      <c r="I77" s="609"/>
      <c r="J77" s="609"/>
    </row>
    <row r="78" spans="1:18">
      <c r="A78" s="625"/>
      <c r="B78" s="506"/>
      <c r="C78" s="624"/>
      <c r="D78" s="609"/>
      <c r="E78" s="609"/>
      <c r="F78" s="609"/>
      <c r="G78" s="609"/>
      <c r="H78" s="609"/>
      <c r="I78" s="609"/>
      <c r="J78" s="609"/>
    </row>
    <row r="79" spans="1:18">
      <c r="A79" s="625"/>
      <c r="B79" s="506"/>
      <c r="C79" s="624"/>
      <c r="D79" s="609"/>
      <c r="E79" s="609"/>
      <c r="F79" s="609"/>
      <c r="G79" s="609"/>
      <c r="H79" s="609"/>
      <c r="I79" s="609"/>
      <c r="J79" s="609"/>
    </row>
    <row r="80" spans="1:18">
      <c r="A80" s="625"/>
      <c r="B80" s="506"/>
      <c r="C80" s="624"/>
      <c r="D80" s="609"/>
      <c r="E80" s="609"/>
      <c r="F80" s="609"/>
      <c r="G80" s="609"/>
      <c r="H80" s="609"/>
      <c r="I80" s="609"/>
      <c r="J80" s="609"/>
    </row>
    <row r="81" spans="1:18">
      <c r="A81" s="207"/>
      <c r="B81" s="600"/>
      <c r="C81" s="207"/>
      <c r="D81" s="207"/>
      <c r="E81" s="207"/>
      <c r="F81" s="207"/>
      <c r="G81" s="207"/>
      <c r="H81" s="207"/>
      <c r="I81" s="207"/>
      <c r="J81" s="207"/>
    </row>
    <row r="82" spans="1:18">
      <c r="A82" s="414" t="s">
        <v>109</v>
      </c>
      <c r="B82" s="600"/>
      <c r="C82" s="207"/>
      <c r="D82" s="233"/>
      <c r="E82" s="233"/>
      <c r="F82" s="233"/>
      <c r="G82" s="233"/>
      <c r="H82" s="233"/>
      <c r="I82" s="233"/>
      <c r="J82" s="233"/>
    </row>
    <row r="83" spans="1:18" ht="14.25" thickBot="1">
      <c r="A83" s="207"/>
      <c r="B83" s="600"/>
      <c r="C83" s="207"/>
      <c r="D83" s="233"/>
      <c r="E83" s="207"/>
      <c r="F83" s="207"/>
      <c r="G83" s="207"/>
      <c r="H83" s="207"/>
      <c r="L83" s="36"/>
      <c r="R83" s="36" t="s">
        <v>64</v>
      </c>
    </row>
    <row r="84" spans="1:18" ht="23.25" thickBot="1">
      <c r="A84" s="632"/>
      <c r="B84" s="633"/>
      <c r="C84" s="634"/>
      <c r="D84" s="418" t="s">
        <v>263</v>
      </c>
      <c r="E84" s="829" t="s">
        <v>264</v>
      </c>
      <c r="F84" s="829" t="s">
        <v>258</v>
      </c>
      <c r="G84" s="827" t="s">
        <v>259</v>
      </c>
      <c r="H84" s="828" t="s">
        <v>260</v>
      </c>
      <c r="I84" s="829" t="s">
        <v>261</v>
      </c>
      <c r="J84" s="41" t="s">
        <v>107</v>
      </c>
      <c r="K84" s="827" t="s">
        <v>262</v>
      </c>
      <c r="L84" s="41" t="s">
        <v>108</v>
      </c>
      <c r="M84" s="827" t="s">
        <v>320</v>
      </c>
      <c r="N84" s="41" t="s">
        <v>108</v>
      </c>
      <c r="O84" s="827" t="s">
        <v>321</v>
      </c>
      <c r="P84" s="41" t="s">
        <v>108</v>
      </c>
      <c r="Q84" s="827" t="s">
        <v>322</v>
      </c>
      <c r="R84" s="41" t="s">
        <v>108</v>
      </c>
    </row>
    <row r="85" spans="1:18" ht="14.25" thickBot="1">
      <c r="A85" s="635" t="s">
        <v>65</v>
      </c>
      <c r="B85" s="636"/>
      <c r="C85" s="637"/>
      <c r="D85" s="638" t="n">
        <f>D42+D65</f>
        <v>2316785.507</v>
      </c>
      <c r="E85" s="639" t="n">
        <f>E65+E42</f>
        <v>2302681.649</v>
      </c>
      <c r="F85" s="640" t="n">
        <f>F65+F42</f>
        <v>2513023.3308</v>
      </c>
      <c r="G85" s="638" t="n">
        <f>G65+G42</f>
        <v>2564467.0</v>
      </c>
      <c r="H85" s="639" t="n">
        <f>H65+H42</f>
        <v>2574526.0</v>
      </c>
      <c r="I85" s="640" t="n">
        <f>I65+I42</f>
        <v>2587936.0</v>
      </c>
      <c r="J85" s="100" t="n">
        <f>IFERROR((SUM(G85:I85)/3)/F85,"－")</f>
        <v>1.0249180612183435</v>
      </c>
      <c r="K85" s="638" t="n">
        <f>K65+K42</f>
        <v>2599486.0</v>
      </c>
      <c r="L85" s="100" t="n">
        <f>IFERROR(K85/F85,"－")</f>
        <v>1.0344058362452508</v>
      </c>
      <c r="M85" s="843" t="n">
        <f>M65+M42</f>
        <v>2354505.0</v>
      </c>
      <c r="N85" s="839" t="n">
        <f>IFERROR(M85/F85,"－")</f>
        <v>0.9369212657689345</v>
      </c>
      <c r="O85" s="843" t="n">
        <f>O65+O42</f>
        <v>2154963.0</v>
      </c>
      <c r="P85" s="839" t="n">
        <f>IFERROR(O85/F85,"－")</f>
        <v>0.8575181032298596</v>
      </c>
      <c r="Q85" s="843" t="n">
        <f>Q65+Q42</f>
        <v>2033596.0</v>
      </c>
      <c r="R85" s="839" t="n">
        <f>IFERROR(Q85/F85,"－")</f>
        <v>0.8092228890499881</v>
      </c>
    </row>
    <row r="86" spans="1:18" ht="13.5" customHeight="1">
      <c r="A86" s="207" t="s">
        <v>113</v>
      </c>
      <c r="B86" s="600"/>
      <c r="C86" s="207"/>
      <c r="D86" s="207"/>
      <c r="E86" s="207"/>
      <c r="F86" s="207"/>
      <c r="G86" s="606" t="s">
        <v>281</v>
      </c>
      <c r="H86" s="604"/>
      <c r="I86" s="604"/>
      <c r="J86" s="604"/>
      <c r="K86" s="702" t="s">
        <v>412</v>
      </c>
      <c r="L86" s="702"/>
      <c r="M86" s="702"/>
    </row>
    <row r="87" spans="1:18">
      <c r="K87" s="702"/>
      <c r="L87" s="702"/>
      <c r="M87" s="702"/>
    </row>
    <row r="88" spans="1:18">
      <c r="A88" s="414" t="s">
        <v>96</v>
      </c>
    </row>
    <row r="89" spans="1:18" ht="14.25" thickBot="1">
      <c r="H89" s="641"/>
      <c r="I89" s="641" t="s">
        <v>71</v>
      </c>
    </row>
    <row r="90" spans="1:18" ht="14.25" thickBot="1">
      <c r="A90" s="632"/>
      <c r="B90" s="633"/>
      <c r="C90" s="634"/>
      <c r="D90" s="418" t="s">
        <v>263</v>
      </c>
      <c r="E90" s="829" t="s">
        <v>264</v>
      </c>
      <c r="F90" s="829" t="s">
        <v>258</v>
      </c>
      <c r="G90" s="827" t="s">
        <v>259</v>
      </c>
      <c r="H90" s="828" t="s">
        <v>260</v>
      </c>
      <c r="I90" s="616" t="s">
        <v>261</v>
      </c>
    </row>
    <row r="91" spans="1:18">
      <c r="A91" s="642" t="s">
        <v>72</v>
      </c>
      <c r="B91" s="643"/>
      <c r="C91" s="644"/>
      <c r="D91" s="105" t="n">
        <f t="shared" ref="D91:I91" si="25">IFERROR((D62+D40)/D12,"－")</f>
        <v>127.21085848653271</v>
      </c>
      <c r="E91" s="106" t="n">
        <f t="shared" si="25"/>
        <v>124.93620120034295</v>
      </c>
      <c r="F91" s="107" t="n">
        <f t="shared" si="25"/>
        <v>143.99919913344888</v>
      </c>
      <c r="G91" s="105" t="n">
        <f t="shared" si="25"/>
        <v>147.15182481751825</v>
      </c>
      <c r="H91" s="106" t="n">
        <f t="shared" si="25"/>
        <v>149.7730007336757</v>
      </c>
      <c r="I91" s="107" t="n">
        <f t="shared" si="25"/>
        <v>152.44506875646903</v>
      </c>
    </row>
    <row r="92" spans="1:18" ht="14.25" thickBot="1">
      <c r="A92" s="645" t="s">
        <v>73</v>
      </c>
      <c r="B92" s="646"/>
      <c r="C92" s="647"/>
      <c r="D92" s="108" t="n">
        <f t="shared" ref="D92:I92" si="26">IFERROR(D64/D12,"－")</f>
        <v>161.48557446202082</v>
      </c>
      <c r="E92" s="109" t="n">
        <f t="shared" si="26"/>
        <v>162.45869648470992</v>
      </c>
      <c r="F92" s="110" t="n">
        <f t="shared" si="26"/>
        <v>174.58477642980938</v>
      </c>
      <c r="G92" s="108" t="n">
        <f t="shared" si="26"/>
        <v>182.3597080291971</v>
      </c>
      <c r="H92" s="109" t="n">
        <f t="shared" si="26"/>
        <v>183.39809244314014</v>
      </c>
      <c r="I92" s="110" t="n">
        <f t="shared" si="26"/>
        <v>184.80822120360787</v>
      </c>
    </row>
    <row r="101" spans="1:12">
      <c r="H101" s="1014"/>
      <c r="I101" s="1014"/>
      <c r="J101" s="1014"/>
      <c r="K101" s="1014"/>
      <c r="L101" s="1014"/>
    </row>
    <row r="102" spans="1:12">
      <c r="H102" s="1014"/>
      <c r="I102" s="1014"/>
      <c r="J102" s="1014"/>
      <c r="K102" s="1014"/>
      <c r="L102" s="1014"/>
    </row>
    <row r="103" spans="1:12">
      <c r="H103" s="1014"/>
      <c r="I103" s="1014"/>
      <c r="J103" s="1014"/>
      <c r="K103" s="1014"/>
      <c r="L103" s="1014"/>
    </row>
    <row r="104" spans="1:12">
      <c r="H104" s="1014"/>
      <c r="I104" s="1014"/>
      <c r="J104" s="1014"/>
      <c r="K104" s="1014"/>
      <c r="L104" s="1014"/>
    </row>
    <row r="105" spans="1:12">
      <c r="H105" s="1014"/>
      <c r="I105" s="1014"/>
      <c r="J105" s="1014"/>
      <c r="K105" s="1014"/>
      <c r="L105" s="1014"/>
    </row>
    <row r="106" spans="1:12">
      <c r="H106" s="1014" t="s">
        <v>286</v>
      </c>
      <c r="I106" s="1014"/>
      <c r="J106" s="1014"/>
      <c r="K106" s="1014"/>
      <c r="L106" s="1014"/>
    </row>
    <row r="107" spans="1:12">
      <c r="H107" s="1014"/>
      <c r="I107" s="1014"/>
      <c r="J107" s="1014"/>
      <c r="K107" s="1014"/>
      <c r="L107" s="1014"/>
    </row>
    <row r="108" spans="1:12">
      <c r="H108" s="1014"/>
      <c r="I108" s="1014"/>
      <c r="J108" s="1014"/>
      <c r="K108" s="1014"/>
      <c r="L108" s="1014"/>
    </row>
    <row r="109" spans="1:12">
      <c r="H109" s="1014"/>
      <c r="I109" s="1014"/>
      <c r="J109" s="1014"/>
      <c r="K109" s="1014"/>
      <c r="L109" s="1014"/>
    </row>
    <row r="110" spans="1:12">
      <c r="H110" s="1014"/>
      <c r="I110" s="1014"/>
      <c r="J110" s="1014"/>
      <c r="K110" s="1014"/>
      <c r="L110" s="1014"/>
    </row>
    <row r="112" spans="1:12">
      <c r="A112" s="207"/>
      <c r="B112" s="600"/>
      <c r="C112" s="207"/>
      <c r="D112" s="207"/>
      <c r="E112" s="207"/>
      <c r="F112" s="207"/>
      <c r="G112" s="207"/>
      <c r="H112" s="207"/>
      <c r="I112" s="207"/>
      <c r="J112" s="207"/>
    </row>
    <row r="113" spans="1:12">
      <c r="A113" s="414" t="s">
        <v>283</v>
      </c>
      <c r="B113" s="415"/>
      <c r="C113" s="411"/>
      <c r="D113" s="648"/>
      <c r="E113" s="648"/>
      <c r="F113" s="648"/>
      <c r="G113" s="648"/>
      <c r="H113" s="648"/>
      <c r="I113" s="648"/>
      <c r="J113" s="648"/>
      <c r="K113" s="393"/>
      <c r="L113" s="393"/>
    </row>
    <row r="114" spans="1:12" ht="14.25" thickBot="1">
      <c r="A114" s="411"/>
      <c r="B114" s="415"/>
      <c r="C114" s="411"/>
      <c r="D114" s="648"/>
      <c r="E114" s="411"/>
      <c r="F114" s="411"/>
      <c r="G114" s="411"/>
      <c r="H114" s="411"/>
      <c r="I114" s="393"/>
      <c r="J114" s="393"/>
      <c r="K114" s="393"/>
      <c r="L114" s="36"/>
    </row>
    <row r="115" spans="1:12" ht="14.25" thickBot="1">
      <c r="A115" s="649"/>
      <c r="B115" s="650"/>
      <c r="C115" s="651"/>
      <c r="D115" s="418" t="s">
        <v>263</v>
      </c>
      <c r="E115" s="829" t="s">
        <v>264</v>
      </c>
      <c r="F115" s="829" t="s">
        <v>258</v>
      </c>
      <c r="G115" s="827" t="s">
        <v>259</v>
      </c>
      <c r="H115" s="828" t="s">
        <v>260</v>
      </c>
      <c r="I115" s="616" t="s">
        <v>261</v>
      </c>
      <c r="J115" s="393"/>
      <c r="K115" s="393"/>
      <c r="L115" s="393"/>
    </row>
    <row r="116" spans="1:12">
      <c r="A116" s="515" t="s">
        <v>284</v>
      </c>
      <c r="B116" s="652"/>
      <c r="C116" s="653"/>
      <c r="D116" s="683" t="n">
        <f>IFERROR(('2_サービス別給付費'!D54+'2_サービス別給付費'!D58+'2_サービス別給付費'!D118+'2_サービス別給付費'!D126+'2_サービス別給付費'!D137)/D12,"－")</f>
        <v>0.0852809842762814</v>
      </c>
      <c r="E116" s="684" t="n">
        <f>IFERROR(('2_サービス別給付費'!E54+'2_サービス別給付費'!E58+'2_サービス別給付費'!E118+'2_サービス別給付費'!E126+'2_サービス別給付費'!E137)/E12,"－")</f>
        <v>0.08820377250643041</v>
      </c>
      <c r="F116" s="685" t="n">
        <f>IFERROR(('2_サービス別給付費'!F54+'2_サービス別給付費'!F58+'2_サービス別給付費'!F118+'2_サービス別給付費'!F126+'2_サービス別給付費'!F137)/F12,"－")</f>
        <v>0.09459849797804737</v>
      </c>
      <c r="G116" s="683" t="n">
        <f>IFERROR(('2_サービス別給付費'!G54+'2_サービス別給付費'!G58+'2_サービス別給付費'!G118+'2_サービス別給付費'!G126+'2_サービス別給付費'!G137)/G12,"－")</f>
        <v>0.09868613138686132</v>
      </c>
      <c r="H116" s="684" t="n">
        <f>IFERROR(('2_サービス別給付費'!H54+'2_サービス別給付費'!H58+'2_サービス別給付費'!H118+'2_サービス別給付費'!H126+'2_サービス別給付費'!H137)/H12,"－")</f>
        <v>0.10110051357300073</v>
      </c>
      <c r="I116" s="685" t="n">
        <f>IFERROR(('2_サービス別給付費'!I54+'2_サービス別給付費'!I58+'2_サービス別給付費'!I118+'2_サービス別給付費'!I126+'2_サービス別給付費'!I137)/I12,"－")</f>
        <v>0.10276504509832915</v>
      </c>
      <c r="J116" s="393"/>
      <c r="K116" s="393"/>
      <c r="L116" s="393"/>
    </row>
    <row r="117" spans="1:12" ht="14.25" thickBot="1">
      <c r="A117" s="654" t="s">
        <v>285</v>
      </c>
      <c r="B117" s="655"/>
      <c r="C117" s="656"/>
      <c r="D117" s="686" t="n">
        <f>IFERROR(('2_サービス別給付費'!D48+'2_サービス別給付費'!D56+'2_サービス別給付費'!D105+'2_サービス別給付費'!D120+'2_サービス別給付費'!D122+'2_サービス別給付費'!D124+'2_サービス別給付費'!D129+'2_サービス別給付費'!D131+'2_サービス別給付費'!D133+'2_サービス別給付費'!D135)/D12,"－")</f>
        <v>0.06657640967174956</v>
      </c>
      <c r="E117" s="687" t="n">
        <f>IFERROR(('2_サービス別給付費'!E48+'2_サービス別給付費'!E56+'2_サービス別給付費'!E105+'2_サービス別給付費'!E120+'2_サービス別給付費'!E122+'2_サービス別給付費'!E124+'2_サービス別給付費'!E129+'2_サービス別給付費'!E131+'2_サービス別給付費'!E133+'2_サービス別給付費'!E135)/E12,"－")</f>
        <v>0.06617366866723827</v>
      </c>
      <c r="F117" s="688" t="n">
        <f>IFERROR(('2_サービス別給付費'!F48+'2_サービス別給付費'!F56+'2_サービス別給付費'!F105+'2_サービス別給付費'!F120+'2_サービス別給付費'!F122+'2_サービス別給付費'!F124+'2_サービス別給付費'!F129+'2_サービス別給付費'!F131+'2_サービス別給付費'!F133+'2_サービス別給付費'!F135)/F12,"－")</f>
        <v>0.06889081455805893</v>
      </c>
      <c r="G117" s="686" t="n">
        <f>IFERROR(('2_サービス別給付費'!G48+'2_サービス別給付費'!G56+'2_サービス別給付費'!G105+'2_サービス別給付費'!G120+'2_サービス別給付費'!G122+'2_サービス別給付費'!G124+'2_サービス別給付費'!G129+'2_サービス別給付費'!G131+'2_サービス別給付費'!G133+'2_サービス別給付費'!G135)/G12,"－")</f>
        <v>0.0708029197080292</v>
      </c>
      <c r="H117" s="687" t="n">
        <f>IFERROR(('2_サービス別給付費'!H48+'2_サービス別給付費'!H56+'2_サービス別給付費'!H105+'2_サービス別給付費'!H120+'2_サービス別給付費'!H122+'2_サービス別給付費'!H124+'2_サービス別給付費'!H129+'2_サービス別給付費'!H131+'2_サービス別給付費'!H133+'2_サービス別給付費'!H135)/H12,"－")</f>
        <v>0.07101980924431402</v>
      </c>
      <c r="I117" s="688" t="n">
        <f>IFERROR(('2_サービス別給付費'!I48+'2_サービス別給付費'!I56+'2_サービス別給付費'!I105+'2_サービス別給付費'!I120+'2_サービス別給付費'!I122+'2_サービス別給付費'!I124+'2_サービス別給付費'!I129+'2_サービス別給付費'!I131+'2_サービス別給付費'!I133+'2_サービス別給付費'!I135)/I12,"－")</f>
        <v>0.0717137365074671</v>
      </c>
      <c r="J117" s="393"/>
      <c r="K117" s="393"/>
      <c r="L117" s="393"/>
    </row>
    <row r="118" spans="1:12">
      <c r="A118" s="393"/>
      <c r="B118" s="393"/>
      <c r="C118" s="393"/>
      <c r="D118" s="393"/>
      <c r="E118" s="393"/>
      <c r="F118" s="393"/>
      <c r="G118" s="393"/>
      <c r="H118" s="393"/>
      <c r="I118" s="393"/>
      <c r="J118" s="393"/>
      <c r="K118" s="393"/>
      <c r="L118" s="393"/>
    </row>
    <row r="119" spans="1:12">
      <c r="A119" s="393"/>
      <c r="B119" s="393"/>
      <c r="C119" s="393"/>
      <c r="D119" s="393"/>
      <c r="E119" s="393"/>
      <c r="F119" s="393"/>
      <c r="G119" s="393"/>
      <c r="H119" s="393"/>
      <c r="I119" s="393"/>
      <c r="J119" s="393"/>
      <c r="K119" s="393"/>
      <c r="L119" s="393"/>
    </row>
    <row r="120" spans="1:12">
      <c r="A120" s="393"/>
      <c r="B120" s="393"/>
      <c r="C120" s="393"/>
      <c r="D120" s="393"/>
      <c r="E120" s="393"/>
      <c r="F120" s="393"/>
      <c r="G120" s="393"/>
      <c r="H120" s="393"/>
      <c r="I120" s="393"/>
      <c r="J120" s="393"/>
      <c r="K120" s="393"/>
      <c r="L120" s="393"/>
    </row>
    <row r="121" spans="1:12">
      <c r="A121" s="393"/>
      <c r="B121" s="393"/>
      <c r="C121" s="393"/>
      <c r="D121" s="393"/>
      <c r="E121" s="393"/>
      <c r="F121" s="393"/>
      <c r="G121" s="393"/>
      <c r="H121" s="393"/>
      <c r="I121" s="393"/>
      <c r="J121" s="393"/>
      <c r="K121" s="393"/>
      <c r="L121" s="393"/>
    </row>
    <row r="122" spans="1:12">
      <c r="A122" s="393"/>
      <c r="B122" s="393"/>
      <c r="C122" s="393"/>
      <c r="D122" s="393"/>
      <c r="E122" s="393"/>
      <c r="F122" s="393"/>
      <c r="G122" s="393"/>
      <c r="H122" s="393"/>
      <c r="I122" s="393"/>
      <c r="J122" s="393"/>
      <c r="K122" s="393"/>
      <c r="L122" s="393"/>
    </row>
    <row r="123" spans="1:12">
      <c r="A123" s="393"/>
      <c r="B123" s="393"/>
      <c r="C123" s="393"/>
      <c r="D123" s="393"/>
      <c r="E123" s="393"/>
      <c r="F123" s="393"/>
      <c r="G123" s="393"/>
      <c r="H123" s="393"/>
      <c r="I123" s="393"/>
      <c r="J123" s="393"/>
      <c r="K123" s="393"/>
      <c r="L123" s="393"/>
    </row>
    <row r="124" spans="1:12">
      <c r="A124" s="393"/>
      <c r="B124" s="393"/>
      <c r="C124" s="393"/>
      <c r="D124" s="393"/>
      <c r="E124" s="393"/>
      <c r="F124" s="393"/>
      <c r="G124" s="393"/>
      <c r="H124" s="393"/>
      <c r="I124" s="393"/>
      <c r="J124" s="393"/>
      <c r="K124" s="393"/>
      <c r="L124" s="393"/>
    </row>
    <row r="125" spans="1:12">
      <c r="A125" s="393"/>
      <c r="B125" s="393"/>
      <c r="C125" s="393"/>
      <c r="D125" s="393"/>
      <c r="E125" s="393"/>
      <c r="F125" s="393"/>
      <c r="G125" s="393"/>
      <c r="H125" s="393"/>
      <c r="I125" s="393"/>
      <c r="J125" s="393"/>
      <c r="K125" s="393"/>
      <c r="L125" s="393"/>
    </row>
    <row r="126" spans="1:12">
      <c r="A126" s="393"/>
      <c r="B126" s="393"/>
      <c r="C126" s="393"/>
      <c r="D126" s="393"/>
      <c r="E126" s="393"/>
      <c r="F126" s="393"/>
      <c r="G126" s="393"/>
      <c r="H126" s="1021"/>
      <c r="I126" s="1021"/>
      <c r="J126" s="1021"/>
      <c r="K126" s="1021"/>
      <c r="L126" s="1021"/>
    </row>
    <row r="127" spans="1:12">
      <c r="A127" s="393"/>
      <c r="B127" s="393"/>
      <c r="C127" s="393"/>
      <c r="D127" s="393"/>
      <c r="E127" s="393"/>
      <c r="F127" s="393"/>
      <c r="G127" s="393"/>
      <c r="H127" s="1021"/>
      <c r="I127" s="1021"/>
      <c r="J127" s="1021"/>
      <c r="K127" s="1021"/>
      <c r="L127" s="1021"/>
    </row>
    <row r="128" spans="1:12">
      <c r="A128" s="393"/>
      <c r="B128" s="393"/>
      <c r="C128" s="393"/>
      <c r="D128" s="393"/>
      <c r="E128" s="393"/>
      <c r="F128" s="393"/>
      <c r="G128" s="393"/>
      <c r="H128" s="1021"/>
      <c r="I128" s="1021"/>
      <c r="J128" s="1021"/>
      <c r="K128" s="1021"/>
      <c r="L128" s="1021"/>
    </row>
    <row r="129" spans="1:12">
      <c r="A129" s="393"/>
      <c r="B129" s="393"/>
      <c r="C129" s="393"/>
      <c r="D129" s="393"/>
      <c r="E129" s="393"/>
      <c r="F129" s="393"/>
      <c r="G129" s="393"/>
      <c r="H129" s="1021"/>
      <c r="I129" s="1021"/>
      <c r="J129" s="1021"/>
      <c r="K129" s="1021"/>
      <c r="L129" s="1021"/>
    </row>
    <row r="130" spans="1:12">
      <c r="A130" s="393"/>
      <c r="B130" s="393"/>
      <c r="C130" s="393"/>
      <c r="D130" s="393"/>
      <c r="E130" s="393"/>
      <c r="F130" s="393"/>
      <c r="G130" s="393"/>
      <c r="H130" s="1021"/>
      <c r="I130" s="1021"/>
      <c r="J130" s="1021"/>
      <c r="K130" s="1021"/>
      <c r="L130" s="1021"/>
    </row>
    <row r="131" spans="1:12">
      <c r="A131" s="393"/>
      <c r="B131" s="393"/>
      <c r="C131" s="393"/>
      <c r="D131" s="393"/>
      <c r="E131" s="393"/>
      <c r="F131" s="393"/>
      <c r="G131" s="393"/>
      <c r="H131" s="1021" t="s">
        <v>287</v>
      </c>
      <c r="I131" s="1021"/>
      <c r="J131" s="1021"/>
      <c r="K131" s="1021"/>
      <c r="L131" s="1021"/>
    </row>
    <row r="132" spans="1:12">
      <c r="A132" s="393"/>
      <c r="B132" s="393"/>
      <c r="C132" s="393"/>
      <c r="D132" s="393"/>
      <c r="E132" s="393"/>
      <c r="F132" s="393"/>
      <c r="G132" s="393"/>
      <c r="H132" s="1021"/>
      <c r="I132" s="1021"/>
      <c r="J132" s="1021"/>
      <c r="K132" s="1021"/>
      <c r="L132" s="1021"/>
    </row>
    <row r="133" spans="1:12">
      <c r="A133" s="393"/>
      <c r="B133" s="393"/>
      <c r="C133" s="393"/>
      <c r="D133" s="393"/>
      <c r="E133" s="393"/>
      <c r="F133" s="393"/>
      <c r="G133" s="393"/>
      <c r="H133" s="1021"/>
      <c r="I133" s="1021"/>
      <c r="J133" s="1021"/>
      <c r="K133" s="1021"/>
      <c r="L133" s="1021"/>
    </row>
    <row r="134" spans="1:12">
      <c r="A134" s="393"/>
      <c r="B134" s="393"/>
      <c r="C134" s="393"/>
      <c r="D134" s="393"/>
      <c r="E134" s="393"/>
      <c r="F134" s="393"/>
      <c r="G134" s="393"/>
      <c r="H134" s="1021"/>
      <c r="I134" s="1021"/>
      <c r="J134" s="1021"/>
      <c r="K134" s="1021"/>
      <c r="L134" s="1021"/>
    </row>
    <row r="135" spans="1:12">
      <c r="A135" s="393"/>
      <c r="B135" s="393"/>
      <c r="C135" s="393"/>
      <c r="D135" s="393"/>
      <c r="E135" s="393"/>
      <c r="F135" s="393"/>
      <c r="G135" s="393"/>
      <c r="H135" s="1021"/>
      <c r="I135" s="1021"/>
      <c r="J135" s="1021"/>
      <c r="K135" s="1021"/>
      <c r="L135" s="1021"/>
    </row>
    <row r="136" spans="1:12">
      <c r="A136" s="393"/>
      <c r="B136" s="393"/>
      <c r="C136" s="393"/>
      <c r="D136" s="393"/>
      <c r="E136" s="393"/>
      <c r="F136" s="393"/>
      <c r="G136" s="393"/>
      <c r="H136" s="826"/>
      <c r="I136" s="826"/>
      <c r="J136" s="826"/>
      <c r="K136" s="826"/>
      <c r="L136" s="826"/>
    </row>
    <row r="137" spans="1:12">
      <c r="A137" s="393"/>
      <c r="B137" s="657" t="s">
        <v>288</v>
      </c>
      <c r="C137" s="393"/>
      <c r="D137" s="393"/>
      <c r="E137" s="393"/>
      <c r="F137" s="393"/>
      <c r="G137" s="393"/>
      <c r="H137" s="826"/>
      <c r="I137" s="826"/>
      <c r="J137" s="826"/>
      <c r="K137" s="826"/>
      <c r="L137" s="826"/>
    </row>
    <row r="138" spans="1:12">
      <c r="A138" s="393"/>
      <c r="B138" s="657" t="s">
        <v>289</v>
      </c>
      <c r="C138" s="393"/>
      <c r="D138" s="393"/>
      <c r="E138" s="393"/>
      <c r="F138" s="393"/>
      <c r="G138" s="393"/>
      <c r="H138" s="826"/>
      <c r="I138" s="826"/>
      <c r="J138" s="826"/>
      <c r="K138" s="826"/>
      <c r="L138" s="826"/>
    </row>
    <row r="139" spans="1:12" ht="12.75" customHeight="1">
      <c r="H139" s="825"/>
      <c r="I139" s="825"/>
      <c r="J139" s="825"/>
      <c r="K139" s="825"/>
      <c r="L139" s="825"/>
    </row>
    <row r="140" spans="1:12">
      <c r="A140" s="414" t="s">
        <v>290</v>
      </c>
    </row>
    <row r="141" spans="1:12" ht="14.25" thickBot="1">
      <c r="A141" s="414"/>
      <c r="F141" s="36"/>
      <c r="H141" s="36"/>
      <c r="K141" s="36" t="s">
        <v>90</v>
      </c>
    </row>
    <row r="142" spans="1:12" ht="14.25" thickBot="1">
      <c r="A142" s="632"/>
      <c r="B142" s="633"/>
      <c r="C142" s="634"/>
      <c r="D142" s="658"/>
      <c r="E142" s="659"/>
      <c r="F142" s="660" t="s">
        <v>91</v>
      </c>
      <c r="G142" s="570" t="s">
        <v>294</v>
      </c>
      <c r="H142" s="222" t="s">
        <v>293</v>
      </c>
      <c r="I142" s="222" t="s">
        <v>323</v>
      </c>
      <c r="J142" s="844" t="s">
        <v>324</v>
      </c>
      <c r="K142" s="844" t="s">
        <v>325</v>
      </c>
    </row>
    <row r="143" spans="1:12" ht="14.25" thickBot="1">
      <c r="A143" s="632" t="s">
        <v>81</v>
      </c>
      <c r="B143" s="633"/>
      <c r="C143" s="634"/>
      <c r="D143" s="658"/>
      <c r="E143" s="659"/>
      <c r="F143" s="84" t="n">
        <v>6399.732953049469</v>
      </c>
      <c r="G143" s="84" t="n">
        <v>6400.11803592478</v>
      </c>
      <c r="H143" s="85" t="n">
        <v>6400.37586688847</v>
      </c>
      <c r="I143" s="845" t="n">
        <v>6699.64613271409</v>
      </c>
      <c r="J143" s="845" t="n">
        <v>7299.69419467105</v>
      </c>
      <c r="K143" s="845" t="n">
        <v>7600.3183036077</v>
      </c>
    </row>
    <row r="144" spans="1:12" ht="14.25" thickBot="1">
      <c r="A144" s="632" t="s">
        <v>295</v>
      </c>
      <c r="B144" s="633"/>
      <c r="C144" s="634"/>
      <c r="D144" s="658"/>
      <c r="E144" s="659"/>
      <c r="F144" s="661"/>
      <c r="G144" s="111" t="n">
        <f>IFERROR(G143/F143,"－")</f>
        <v>1.0000601717099973</v>
      </c>
      <c r="H144" s="112" t="n">
        <f>IFERROR(H143/F143,"－")</f>
        <v>1.0001004594791247</v>
      </c>
      <c r="I144" s="846" t="n">
        <f>IFERROR(I143/F143,"－")</f>
        <v>1.0468633897484287</v>
      </c>
      <c r="J144" s="846" t="n">
        <f>IFERROR(J143/F143,"－")</f>
        <v>1.1406248117263629</v>
      </c>
      <c r="K144" s="846" t="n">
        <f>IFERROR(K143/F143,"－")</f>
        <v>1.1875992888087858</v>
      </c>
    </row>
    <row r="145" spans="1:15">
      <c r="A145" s="607"/>
      <c r="B145" s="608"/>
      <c r="C145" s="607"/>
      <c r="D145" s="662"/>
      <c r="E145" s="662"/>
      <c r="F145" s="662"/>
      <c r="G145" s="662"/>
      <c r="H145" s="662"/>
    </row>
    <row r="147" spans="1:15">
      <c r="A147" s="414" t="s">
        <v>291</v>
      </c>
      <c r="E147" s="35"/>
      <c r="F147" s="662"/>
      <c r="G147" s="662"/>
      <c r="H147" s="663"/>
      <c r="I147" s="664"/>
      <c r="J147" s="664"/>
      <c r="K147" s="664"/>
      <c r="L147" s="664"/>
    </row>
    <row r="148" spans="1:15" ht="14.25" thickBot="1">
      <c r="D148" s="36"/>
      <c r="E148" s="662"/>
      <c r="F148" s="36"/>
      <c r="G148" s="36"/>
      <c r="H148" s="664"/>
      <c r="I148" s="36"/>
      <c r="J148" s="664"/>
      <c r="O148" s="36" t="s">
        <v>90</v>
      </c>
    </row>
    <row r="149" spans="1:15" ht="14.25" thickBot="1">
      <c r="D149" s="1018" t="s">
        <v>91</v>
      </c>
      <c r="E149" s="1020"/>
      <c r="F149" s="1018" t="s">
        <v>292</v>
      </c>
      <c r="G149" s="1020"/>
      <c r="H149" s="1018" t="s">
        <v>265</v>
      </c>
      <c r="I149" s="1020"/>
      <c r="J149" s="1018" t="s">
        <v>326</v>
      </c>
      <c r="K149" s="1019"/>
      <c r="L149" s="1018" t="s">
        <v>327</v>
      </c>
      <c r="M149" s="1019"/>
      <c r="N149" s="1018" t="s">
        <v>328</v>
      </c>
      <c r="O149" s="1019"/>
    </row>
    <row r="150" spans="1:15" ht="14.25" thickBot="1">
      <c r="A150" s="665"/>
      <c r="B150" s="666"/>
      <c r="C150" s="667"/>
      <c r="D150" s="668" t="s">
        <v>82</v>
      </c>
      <c r="E150" s="669" t="s">
        <v>110</v>
      </c>
      <c r="F150" s="668" t="s">
        <v>82</v>
      </c>
      <c r="G150" s="669" t="s">
        <v>110</v>
      </c>
      <c r="H150" s="670" t="s">
        <v>82</v>
      </c>
      <c r="I150" s="669" t="s">
        <v>110</v>
      </c>
      <c r="J150" s="670" t="s">
        <v>82</v>
      </c>
      <c r="K150" s="669" t="s">
        <v>110</v>
      </c>
      <c r="L150" s="670" t="s">
        <v>82</v>
      </c>
      <c r="M150" s="669" t="s">
        <v>110</v>
      </c>
      <c r="N150" s="670" t="s">
        <v>82</v>
      </c>
      <c r="O150" s="669" t="s">
        <v>110</v>
      </c>
    </row>
    <row r="151" spans="1:15">
      <c r="A151" s="86" t="s">
        <v>65</v>
      </c>
      <c r="B151" s="87"/>
      <c r="C151" s="671"/>
      <c r="D151" s="672" t="n">
        <v>5564.895725056959</v>
      </c>
      <c r="E151" s="673" t="n">
        <f t="shared" ref="E151:E161" si="27">IFERROR(D151/D$159,"－")</f>
        <v>0.8470383901892112</v>
      </c>
      <c r="F151" s="672" t="n">
        <v>5481.61027240306</v>
      </c>
      <c r="G151" s="673" t="n">
        <f t="shared" ref="G151:G161" si="28">IFERROR(F151/F$159,"－")</f>
        <v>0.8454912496108603</v>
      </c>
      <c r="H151" s="674" t="n">
        <v>5433.49723176268</v>
      </c>
      <c r="I151" s="673" t="n">
        <f t="shared" ref="I151:I161" si="29">IFERROR(H151/H$159,"－")</f>
        <v>0.844609612272319</v>
      </c>
      <c r="J151" s="674" t="n">
        <v>5848.1842648368</v>
      </c>
      <c r="K151" s="673" t="n">
        <f t="shared" ref="K151:K161" si="30">IFERROR(J151/J$159,"－")</f>
        <v>0.8499268974320633</v>
      </c>
      <c r="L151" s="674" t="n">
        <v>6465.97796715781</v>
      </c>
      <c r="M151" s="673" t="n">
        <f t="shared" ref="M151:M161" si="31">IFERROR(L151/L$159,"－")</f>
        <v>0.856226983751316</v>
      </c>
      <c r="N151" s="674" t="n">
        <v>6707.13693770908</v>
      </c>
      <c r="O151" s="673" t="n">
        <f t="shared" ref="O151:O161" si="32">IFERROR(N151/N$159,"－")</f>
        <v>0.8541175659339783</v>
      </c>
    </row>
    <row r="152" spans="1:15">
      <c r="A152" s="34"/>
      <c r="B152" s="37" t="s">
        <v>72</v>
      </c>
      <c r="C152" s="675"/>
      <c r="D152" s="676" t="n">
        <v>2173.3579717457023</v>
      </c>
      <c r="E152" s="444" t="n">
        <f t="shared" si="27"/>
        <v>0.3308090085863246</v>
      </c>
      <c r="F152" s="676" t="n">
        <v>2170.58650812709</v>
      </c>
      <c r="G152" s="444" t="n">
        <f t="shared" si="28"/>
        <v>0.33479430458311593</v>
      </c>
      <c r="H152" s="677" t="n">
        <v>2167.95303391313</v>
      </c>
      <c r="I152" s="444" t="n">
        <f t="shared" si="29"/>
        <v>0.3369973137547635</v>
      </c>
      <c r="J152" s="677" t="n">
        <v>2355.2298137864</v>
      </c>
      <c r="K152" s="444" t="n">
        <f t="shared" si="30"/>
        <v>0.3422896881698772</v>
      </c>
      <c r="L152" s="677" t="n">
        <v>2670.11668748656</v>
      </c>
      <c r="M152" s="444" t="n">
        <f t="shared" si="31"/>
        <v>0.3535777525384312</v>
      </c>
      <c r="N152" s="677" t="n">
        <v>2719.50927139014</v>
      </c>
      <c r="O152" s="444" t="n">
        <f t="shared" si="32"/>
        <v>0.34631477797261323</v>
      </c>
    </row>
    <row r="153" spans="1:15">
      <c r="A153" s="34"/>
      <c r="B153" s="37" t="s">
        <v>83</v>
      </c>
      <c r="C153" s="675"/>
      <c r="D153" s="676" t="n">
        <v>743.849039048702</v>
      </c>
      <c r="E153" s="444" t="n">
        <f t="shared" si="27"/>
        <v>0.11322201236271237</v>
      </c>
      <c r="F153" s="676" t="n">
        <v>651.506753312577</v>
      </c>
      <c r="G153" s="444" t="n">
        <f t="shared" si="28"/>
        <v>0.10048931456535004</v>
      </c>
      <c r="H153" s="677" t="n">
        <v>630.464651868734</v>
      </c>
      <c r="I153" s="444" t="n">
        <f t="shared" si="29"/>
        <v>0.09800253546710778</v>
      </c>
      <c r="J153" s="677" t="n">
        <v>644.737039148673</v>
      </c>
      <c r="K153" s="444" t="n">
        <f t="shared" si="30"/>
        <v>0.09370076702917608</v>
      </c>
      <c r="L153" s="677" t="n">
        <v>723.310816332793</v>
      </c>
      <c r="M153" s="444" t="n">
        <f t="shared" si="31"/>
        <v>0.09578106231245906</v>
      </c>
      <c r="N153" s="677" t="n">
        <v>795.065761151656</v>
      </c>
      <c r="O153" s="444" t="n">
        <f t="shared" si="32"/>
        <v>0.10124731893490276</v>
      </c>
    </row>
    <row r="154" spans="1:15">
      <c r="A154" s="32"/>
      <c r="B154" s="37" t="s">
        <v>73</v>
      </c>
      <c r="C154" s="675"/>
      <c r="D154" s="676" t="n">
        <v>2647.6887142625546</v>
      </c>
      <c r="E154" s="444" t="n">
        <f t="shared" si="27"/>
        <v>0.40300736924017416</v>
      </c>
      <c r="F154" s="676" t="n">
        <v>2659.51701096339</v>
      </c>
      <c r="G154" s="444" t="n">
        <f t="shared" si="28"/>
        <v>0.4102076304623939</v>
      </c>
      <c r="H154" s="677" t="n">
        <v>2635.07954598081</v>
      </c>
      <c r="I154" s="444" t="n">
        <f t="shared" si="29"/>
        <v>0.4096097630504469</v>
      </c>
      <c r="J154" s="677" t="n">
        <v>2848.21741190173</v>
      </c>
      <c r="K154" s="444" t="n">
        <f t="shared" si="30"/>
        <v>0.41393644223301035</v>
      </c>
      <c r="L154" s="677" t="n">
        <v>3072.55046333846</v>
      </c>
      <c r="M154" s="444" t="n">
        <f t="shared" si="31"/>
        <v>0.40686816890042615</v>
      </c>
      <c r="N154" s="677" t="n">
        <v>3192.56190516729</v>
      </c>
      <c r="O154" s="444" t="n">
        <f t="shared" si="32"/>
        <v>0.40655546902646306</v>
      </c>
    </row>
    <row r="155" spans="1:15">
      <c r="A155" s="31" t="s">
        <v>84</v>
      </c>
      <c r="B155" s="37"/>
      <c r="C155" s="675"/>
      <c r="D155" s="676" t="n">
        <v>591.2199526973891</v>
      </c>
      <c r="E155" s="444" t="n">
        <f t="shared" si="27"/>
        <v>0.08999018521149599</v>
      </c>
      <c r="F155" s="676" t="n">
        <v>577.843809636929</v>
      </c>
      <c r="G155" s="444" t="n">
        <f t="shared" si="28"/>
        <v>0.08912743891142202</v>
      </c>
      <c r="H155" s="677" t="n">
        <v>593.266984822506</v>
      </c>
      <c r="I155" s="444" t="n">
        <f t="shared" si="29"/>
        <v>0.09222034661133886</v>
      </c>
      <c r="J155" s="677" t="n">
        <v>626.213060427276</v>
      </c>
      <c r="K155" s="444" t="n">
        <f t="shared" si="30"/>
        <v>0.09100864464557777</v>
      </c>
      <c r="L155" s="677" t="n">
        <v>668.06921334421</v>
      </c>
      <c r="M155" s="444" t="n">
        <f t="shared" si="31"/>
        <v>0.08846595060859207</v>
      </c>
      <c r="N155" s="677" t="n">
        <v>707.45507145765</v>
      </c>
      <c r="O155" s="444" t="n">
        <f t="shared" si="32"/>
        <v>0.09009057206567889</v>
      </c>
    </row>
    <row r="156" spans="1:15">
      <c r="A156" s="31" t="s">
        <v>85</v>
      </c>
      <c r="B156" s="678"/>
      <c r="C156" s="675"/>
      <c r="D156" s="676" t="n">
        <v>413.71136847182646</v>
      </c>
      <c r="E156" s="444" t="n">
        <f t="shared" si="27"/>
        <v>0.06297142459929286</v>
      </c>
      <c r="F156" s="676" t="n">
        <v>423.889506584958</v>
      </c>
      <c r="G156" s="444" t="n">
        <f t="shared" si="28"/>
        <v>0.06538131147771874</v>
      </c>
      <c r="H156" s="677" t="n">
        <v>406.382118494431</v>
      </c>
      <c r="I156" s="444" t="n">
        <f t="shared" si="29"/>
        <v>0.06317004111634311</v>
      </c>
      <c r="J156" s="677" t="n">
        <v>406.411227220001</v>
      </c>
      <c r="K156" s="444" t="n">
        <f t="shared" si="30"/>
        <v>0.059064457922358586</v>
      </c>
      <c r="L156" s="677" t="n">
        <v>417.662926587754</v>
      </c>
      <c r="M156" s="444" t="n">
        <f t="shared" si="31"/>
        <v>0.05530706564009112</v>
      </c>
      <c r="N156" s="677" t="n">
        <v>438.117272575788</v>
      </c>
      <c r="O156" s="444" t="n">
        <f t="shared" si="32"/>
        <v>0.05579186200034258</v>
      </c>
    </row>
    <row r="157" spans="1:15">
      <c r="A157" s="31" t="s">
        <v>86</v>
      </c>
      <c r="B157" s="678"/>
      <c r="C157" s="675"/>
      <c r="D157" s="676" t="n">
        <v>0.0</v>
      </c>
      <c r="E157" s="444" t="n">
        <f t="shared" si="27"/>
        <v>0.0</v>
      </c>
      <c r="F157" s="676" t="n">
        <v>0.0</v>
      </c>
      <c r="G157" s="444" t="n">
        <f t="shared" si="28"/>
        <v>0.0</v>
      </c>
      <c r="H157" s="677" t="n">
        <v>0.0</v>
      </c>
      <c r="I157" s="444" t="n">
        <f t="shared" si="29"/>
        <v>0.0</v>
      </c>
      <c r="J157" s="677" t="n">
        <v>0.0</v>
      </c>
      <c r="K157" s="444" t="n">
        <f t="shared" si="30"/>
        <v>0.0</v>
      </c>
      <c r="L157" s="677" t="n">
        <v>0.0</v>
      </c>
      <c r="M157" s="444" t="n">
        <f t="shared" si="31"/>
        <v>0.0</v>
      </c>
      <c r="N157" s="677" t="n">
        <v>0.0</v>
      </c>
      <c r="O157" s="444" t="n">
        <f t="shared" si="32"/>
        <v>0.0</v>
      </c>
    </row>
    <row r="158" spans="1:15">
      <c r="A158" s="31" t="s">
        <v>87</v>
      </c>
      <c r="B158" s="37"/>
      <c r="C158" s="675"/>
      <c r="D158" s="676" t="n">
        <v>0.0</v>
      </c>
      <c r="E158" s="444" t="n">
        <f t="shared" si="27"/>
        <v>0.0</v>
      </c>
      <c r="F158" s="676" t="n">
        <v>0.0</v>
      </c>
      <c r="G158" s="444" t="n">
        <f t="shared" si="28"/>
        <v>0.0</v>
      </c>
      <c r="H158" s="677" t="n">
        <v>0.0</v>
      </c>
      <c r="I158" s="444" t="n">
        <f t="shared" si="29"/>
        <v>0.0</v>
      </c>
      <c r="J158" s="677" t="n">
        <v>0.0</v>
      </c>
      <c r="K158" s="444" t="n">
        <f t="shared" si="30"/>
        <v>0.0</v>
      </c>
      <c r="L158" s="677" t="n">
        <v>0.0</v>
      </c>
      <c r="M158" s="444" t="n">
        <f t="shared" si="31"/>
        <v>0.0</v>
      </c>
      <c r="N158" s="677" t="n">
        <v>0.0</v>
      </c>
      <c r="O158" s="444" t="n">
        <f t="shared" si="32"/>
        <v>0.0</v>
      </c>
    </row>
    <row r="159" spans="1:15">
      <c r="A159" s="31" t="s">
        <v>88</v>
      </c>
      <c r="B159" s="37"/>
      <c r="C159" s="679"/>
      <c r="D159" s="676" t="n">
        <v>6569.827046226174</v>
      </c>
      <c r="E159" s="444" t="n">
        <f t="shared" si="27"/>
        <v>1.0</v>
      </c>
      <c r="F159" s="676" t="n">
        <v>6483.34358862494</v>
      </c>
      <c r="G159" s="444" t="n">
        <f t="shared" si="28"/>
        <v>1.0</v>
      </c>
      <c r="H159" s="677" t="n">
        <v>6433.14633507961</v>
      </c>
      <c r="I159" s="444" t="n">
        <f t="shared" si="29"/>
        <v>1.0</v>
      </c>
      <c r="J159" s="677" t="n">
        <v>6880.80855248408</v>
      </c>
      <c r="K159" s="444" t="n">
        <f t="shared" si="30"/>
        <v>1.0</v>
      </c>
      <c r="L159" s="677" t="n">
        <v>7551.71010708978</v>
      </c>
      <c r="M159" s="444" t="n">
        <f t="shared" si="31"/>
        <v>1.0</v>
      </c>
      <c r="N159" s="677" t="n">
        <v>7852.70928174252</v>
      </c>
      <c r="O159" s="444" t="n">
        <f t="shared" si="32"/>
        <v>1.0</v>
      </c>
    </row>
    <row r="160" spans="1:15">
      <c r="A160" s="31" t="s">
        <v>89</v>
      </c>
      <c r="B160" s="678"/>
      <c r="C160" s="679"/>
      <c r="D160" s="676" t="n">
        <v>170.09409317670563</v>
      </c>
      <c r="E160" s="444" t="n">
        <f t="shared" si="27"/>
        <v>0.025890193452567475</v>
      </c>
      <c r="F160" s="676" t="n">
        <v>83.2255527001657</v>
      </c>
      <c r="G160" s="444" t="n">
        <f t="shared" si="28"/>
        <v>0.012836825869630811</v>
      </c>
      <c r="H160" s="677" t="n">
        <v>32.7704681911442</v>
      </c>
      <c r="I160" s="444" t="n">
        <f t="shared" si="29"/>
        <v>0.005094003227075459</v>
      </c>
      <c r="J160" s="677" t="n">
        <v>181.162419769986</v>
      </c>
      <c r="K160" s="444" t="n">
        <f t="shared" si="30"/>
        <v>0.02632865285934798</v>
      </c>
      <c r="L160" s="677" t="n">
        <v>252.015912418723</v>
      </c>
      <c r="M160" s="444" t="n">
        <f t="shared" si="31"/>
        <v>0.03337203214171617</v>
      </c>
      <c r="N160" s="677" t="n">
        <v>252.390978134819</v>
      </c>
      <c r="O160" s="444" t="n">
        <f t="shared" si="32"/>
        <v>0.032140624220181664</v>
      </c>
    </row>
    <row r="161" spans="1:15" ht="14.25" thickBot="1">
      <c r="A161" s="33" t="s">
        <v>115</v>
      </c>
      <c r="B161" s="38"/>
      <c r="C161" s="680"/>
      <c r="D161" s="681" t="n">
        <v>6399.732953049469</v>
      </c>
      <c r="E161" s="497" t="n">
        <f t="shared" si="27"/>
        <v>0.9741098065474325</v>
      </c>
      <c r="F161" s="681" t="n">
        <v>6400.11803592478</v>
      </c>
      <c r="G161" s="497" t="n">
        <f t="shared" si="28"/>
        <v>0.9871631741303701</v>
      </c>
      <c r="H161" s="682" t="n">
        <v>6400.37586688847</v>
      </c>
      <c r="I161" s="497" t="n">
        <f t="shared" si="29"/>
        <v>0.9949059967729252</v>
      </c>
      <c r="J161" s="682" t="n">
        <v>6699.64613271409</v>
      </c>
      <c r="K161" s="497" t="n">
        <f t="shared" si="30"/>
        <v>0.9736713471406514</v>
      </c>
      <c r="L161" s="682" t="n">
        <v>7299.69419467105</v>
      </c>
      <c r="M161" s="497" t="n">
        <f t="shared" si="31"/>
        <v>0.966627967858283</v>
      </c>
      <c r="N161" s="682" t="n">
        <v>7600.3183036077</v>
      </c>
      <c r="O161" s="497" t="n">
        <f t="shared" si="32"/>
        <v>0.9678593757798182</v>
      </c>
    </row>
  </sheetData>
  <mergeCells count="19">
    <mergeCell ref="N149:O149"/>
    <mergeCell ref="D149:E149"/>
    <mergeCell ref="H149:I149"/>
    <mergeCell ref="F149:G149"/>
    <mergeCell ref="H106:L110"/>
    <mergeCell ref="H126:L130"/>
    <mergeCell ref="H131:L135"/>
    <mergeCell ref="J149:K149"/>
    <mergeCell ref="L149:M149"/>
    <mergeCell ref="A1:M1"/>
    <mergeCell ref="H101:L105"/>
    <mergeCell ref="A10:C10"/>
    <mergeCell ref="A18:C18"/>
    <mergeCell ref="O3:P3"/>
    <mergeCell ref="Q3:R3"/>
    <mergeCell ref="O4:P4"/>
    <mergeCell ref="Q4:R4"/>
    <mergeCell ref="O5:P5"/>
    <mergeCell ref="Q5:R5"/>
  </mergeCells>
  <phoneticPr fontId="8"/>
  <conditionalFormatting sqref="F151:F161 H151:H161">
    <cfRule type="containsBlanks" dxfId="7" priority="8">
      <formula>LEN(TRIM(F151))=0</formula>
    </cfRule>
  </conditionalFormatting>
  <conditionalFormatting sqref="G151:G161 I151:I161">
    <cfRule type="cellIs" dxfId="6" priority="7" operator="equal">
      <formula>"－"</formula>
    </cfRule>
  </conditionalFormatting>
  <conditionalFormatting sqref="J151:J161">
    <cfRule type="containsBlanks" dxfId="5" priority="6">
      <formula>LEN(TRIM(J151))=0</formula>
    </cfRule>
  </conditionalFormatting>
  <conditionalFormatting sqref="K151:K161">
    <cfRule type="cellIs" dxfId="4" priority="5" operator="equal">
      <formula>"－"</formula>
    </cfRule>
  </conditionalFormatting>
  <conditionalFormatting sqref="L151:L161">
    <cfRule type="containsBlanks" dxfId="3" priority="4">
      <formula>LEN(TRIM(L151))=0</formula>
    </cfRule>
  </conditionalFormatting>
  <conditionalFormatting sqref="M151:M161">
    <cfRule type="cellIs" dxfId="2" priority="3" operator="equal">
      <formula>"－"</formula>
    </cfRule>
  </conditionalFormatting>
  <conditionalFormatting sqref="N151:N161">
    <cfRule type="containsBlanks" dxfId="1" priority="2">
      <formula>LEN(TRIM(N151))=0</formula>
    </cfRule>
  </conditionalFormatting>
  <conditionalFormatting sqref="O151:O161">
    <cfRule type="cellIs" dxfId="0" priority="1" operator="equal">
      <formula>"－"</formula>
    </cfRule>
  </conditionalFormatting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>
    <oddFooter>&amp;C&amp;P</oddFooter>
  </headerFooter>
  <rowBreaks count="1" manualBreakCount="1">
    <brk id="8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2"/>
  <sheetViews>
    <sheetView view="pageBreakPreview" zoomScale="85" zoomScaleNormal="100" zoomScaleSheetLayoutView="85" workbookViewId="0">
      <selection activeCell="T1" sqref="T1"/>
    </sheetView>
  </sheetViews>
  <sheetFormatPr defaultRowHeight="13.5"/>
  <cols>
    <col min="1" max="1" style="411" width="9.0" collapsed="false"/>
    <col min="2" max="2" bestFit="true" customWidth="true" style="411" width="42.125" collapsed="false"/>
    <col min="3" max="3" customWidth="true" style="411" width="15.375" collapsed="false"/>
    <col min="4" max="18" customWidth="true" style="411" width="11.125" collapsed="false"/>
    <col min="19" max="19" customWidth="true" style="411" width="3.375" collapsed="false"/>
    <col min="20" max="16384" style="411" width="9.0" collapsed="false"/>
  </cols>
  <sheetData>
    <row r="1" spans="1:19" ht="14.25">
      <c r="A1" s="206" t="s">
        <v>75</v>
      </c>
      <c r="K1" s="412"/>
      <c r="L1" s="413"/>
    </row>
    <row r="2" spans="1:19" ht="15" thickBot="1">
      <c r="A2" s="206"/>
      <c r="Q2" s="412" t="s">
        <v>101</v>
      </c>
      <c r="R2" s="413" t="str">
        <f>'1_推計値サマリ'!R2</f>
        <v>2021/03/31</v>
      </c>
    </row>
    <row r="3" spans="1:19" s="393" customFormat="1" ht="14.25" thickBot="1">
      <c r="A3" s="411"/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1040" t="s">
        <v>69</v>
      </c>
      <c r="P3" s="1041"/>
      <c r="Q3" s="1038" t="str">
        <f>'1_推計値サマリ'!Q3</f>
        <v>珠洲市</v>
      </c>
      <c r="R3" s="1039"/>
      <c r="S3" s="411"/>
    </row>
    <row r="4" spans="1:19" s="393" customFormat="1" ht="14.25" thickBot="1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1040" t="s">
        <v>70</v>
      </c>
      <c r="P4" s="1041"/>
      <c r="Q4" s="1042" t="str">
        <f>'1_推計値サマリ'!Q4</f>
        <v>17205</v>
      </c>
      <c r="R4" s="1043"/>
      <c r="S4" s="411"/>
    </row>
    <row r="5" spans="1:19" s="393" customFormat="1" ht="31.5" customHeight="1" thickBot="1">
      <c r="A5" s="411"/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1044" t="s">
        <v>106</v>
      </c>
      <c r="P5" s="1045"/>
      <c r="Q5" s="1046" t="str">
        <f>'1_推計値サマリ'!Q5</f>
        <v>20210312第4回目</v>
      </c>
      <c r="R5" s="1039"/>
      <c r="S5" s="411"/>
    </row>
    <row r="8" spans="1:19">
      <c r="A8" s="414" t="s">
        <v>92</v>
      </c>
      <c r="B8" s="415"/>
    </row>
    <row r="9" spans="1:19" ht="14.25" thickBot="1">
      <c r="B9" s="415"/>
      <c r="L9" s="36"/>
      <c r="R9" s="36" t="s">
        <v>111</v>
      </c>
    </row>
    <row r="10" spans="1:19" ht="23.25" thickBot="1">
      <c r="A10" s="30"/>
      <c r="B10" s="416"/>
      <c r="C10" s="417"/>
      <c r="D10" s="418" t="s">
        <v>68</v>
      </c>
      <c r="E10" s="828" t="s">
        <v>257</v>
      </c>
      <c r="F10" s="419" t="s">
        <v>258</v>
      </c>
      <c r="G10" s="827" t="s">
        <v>259</v>
      </c>
      <c r="H10" s="828" t="s">
        <v>260</v>
      </c>
      <c r="I10" s="829" t="s">
        <v>261</v>
      </c>
      <c r="J10" s="40" t="s">
        <v>107</v>
      </c>
      <c r="K10" s="827" t="s">
        <v>262</v>
      </c>
      <c r="L10" s="41" t="s">
        <v>108</v>
      </c>
      <c r="M10" s="827" t="s">
        <v>320</v>
      </c>
      <c r="N10" s="41" t="s">
        <v>108</v>
      </c>
      <c r="O10" s="827" t="s">
        <v>321</v>
      </c>
      <c r="P10" s="41" t="s">
        <v>108</v>
      </c>
      <c r="Q10" s="827" t="s">
        <v>322</v>
      </c>
      <c r="R10" s="41" t="s">
        <v>108</v>
      </c>
    </row>
    <row r="11" spans="1:19">
      <c r="A11" s="420" t="s">
        <v>16</v>
      </c>
      <c r="B11" s="421"/>
      <c r="C11" s="422"/>
      <c r="D11" s="423"/>
      <c r="E11" s="424"/>
      <c r="F11" s="425"/>
      <c r="G11" s="426"/>
      <c r="H11" s="427"/>
      <c r="I11" s="427"/>
      <c r="J11" s="428"/>
      <c r="K11" s="426"/>
      <c r="L11" s="429"/>
      <c r="M11" s="426"/>
      <c r="N11" s="429"/>
      <c r="O11" s="426"/>
      <c r="P11" s="429"/>
      <c r="Q11" s="426"/>
      <c r="R11" s="429"/>
    </row>
    <row r="12" spans="1:19" ht="13.5" hidden="1" customHeight="1">
      <c r="A12" s="19"/>
      <c r="B12" s="1049" t="s">
        <v>312</v>
      </c>
      <c r="C12" s="430" t="s">
        <v>17</v>
      </c>
      <c r="D12" s="431"/>
      <c r="E12" s="432"/>
      <c r="F12" s="433"/>
      <c r="G12" s="434"/>
      <c r="H12" s="435"/>
      <c r="I12" s="435"/>
      <c r="J12" s="436"/>
      <c r="K12" s="434"/>
      <c r="L12" s="437"/>
      <c r="M12" s="434"/>
      <c r="N12" s="437"/>
      <c r="O12" s="434"/>
      <c r="P12" s="437"/>
      <c r="Q12" s="434"/>
      <c r="R12" s="437"/>
    </row>
    <row r="13" spans="1:19" ht="13.5" hidden="1" customHeight="1">
      <c r="A13" s="19"/>
      <c r="B13" s="1051"/>
      <c r="C13" s="430" t="s">
        <v>18</v>
      </c>
      <c r="D13" s="431"/>
      <c r="E13" s="432"/>
      <c r="F13" s="433"/>
      <c r="G13" s="438"/>
      <c r="H13" s="439"/>
      <c r="I13" s="439"/>
      <c r="J13" s="440"/>
      <c r="K13" s="438"/>
      <c r="L13" s="441"/>
      <c r="M13" s="438"/>
      <c r="N13" s="441"/>
      <c r="O13" s="438"/>
      <c r="P13" s="441"/>
      <c r="Q13" s="438"/>
      <c r="R13" s="441"/>
    </row>
    <row r="14" spans="1:19">
      <c r="A14" s="19"/>
      <c r="B14" s="1049" t="s">
        <v>19</v>
      </c>
      <c r="C14" s="430" t="s">
        <v>17</v>
      </c>
      <c r="D14" s="431" t="n">
        <v>0.0</v>
      </c>
      <c r="E14" s="432" t="n">
        <v>0.0</v>
      </c>
      <c r="F14" s="433" t="n">
        <v>0.0</v>
      </c>
      <c r="G14" s="442" t="n">
        <v>0.0</v>
      </c>
      <c r="H14" s="432" t="n">
        <v>0.0</v>
      </c>
      <c r="I14" s="432" t="n">
        <v>0.0</v>
      </c>
      <c r="J14" s="443" t="str">
        <f t="shared" ref="J14:J24" si="0">IFERROR(SUM(G14:I14)/3/F14,"－")</f>
        <v>－</v>
      </c>
      <c r="K14" s="442" t="n">
        <v>0.0</v>
      </c>
      <c r="L14" s="444" t="str">
        <f t="shared" ref="L14:L24" si="1">IFERROR(K14/F14,"－")</f>
        <v>－</v>
      </c>
      <c r="M14" s="442" t="n">
        <v>0.0</v>
      </c>
      <c r="N14" s="444" t="str">
        <f>IFERROR(M14/F14,"－")</f>
        <v>－</v>
      </c>
      <c r="O14" s="442" t="n">
        <v>0.0</v>
      </c>
      <c r="P14" s="444" t="str">
        <f>IFERROR(O14/F14,"－")</f>
        <v>－</v>
      </c>
      <c r="Q14" s="442" t="n">
        <v>0.0</v>
      </c>
      <c r="R14" s="444" t="str">
        <f>IFERROR(Q14/F14,"－")</f>
        <v>－</v>
      </c>
    </row>
    <row r="15" spans="1:19">
      <c r="A15" s="19"/>
      <c r="B15" s="1050"/>
      <c r="C15" s="430" t="s">
        <v>20</v>
      </c>
      <c r="D15" s="445" t="n">
        <v>0.0</v>
      </c>
      <c r="E15" s="446" t="n">
        <v>0.0</v>
      </c>
      <c r="F15" s="447" t="n">
        <v>0.0</v>
      </c>
      <c r="G15" s="448" t="n">
        <v>0.0</v>
      </c>
      <c r="H15" s="446" t="n">
        <v>0.0</v>
      </c>
      <c r="I15" s="446" t="n">
        <v>0.0</v>
      </c>
      <c r="J15" s="443" t="str">
        <f t="shared" si="0"/>
        <v>－</v>
      </c>
      <c r="K15" s="448" t="n">
        <v>0.0</v>
      </c>
      <c r="L15" s="444" t="str">
        <f t="shared" si="1"/>
        <v>－</v>
      </c>
      <c r="M15" s="448" t="n">
        <v>0.0</v>
      </c>
      <c r="N15" s="444" t="str">
        <f t="shared" ref="N15:N59" si="2">IFERROR(M15/F15,"－")</f>
        <v>－</v>
      </c>
      <c r="O15" s="448" t="n">
        <v>0.0</v>
      </c>
      <c r="P15" s="444" t="str">
        <f t="shared" ref="P15:P59" si="3">IFERROR(O15/F15,"－")</f>
        <v>－</v>
      </c>
      <c r="Q15" s="448" t="n">
        <v>0.0</v>
      </c>
      <c r="R15" s="444" t="str">
        <f t="shared" ref="R15:R59" si="4">IFERROR(Q15/F15,"－")</f>
        <v>－</v>
      </c>
    </row>
    <row r="16" spans="1:19">
      <c r="A16" s="19"/>
      <c r="B16" s="832"/>
      <c r="C16" s="430" t="s">
        <v>18</v>
      </c>
      <c r="D16" s="431" t="n">
        <v>0.0</v>
      </c>
      <c r="E16" s="432" t="n">
        <v>0.0</v>
      </c>
      <c r="F16" s="433" t="n">
        <v>0.0</v>
      </c>
      <c r="G16" s="442" t="n">
        <v>0.0</v>
      </c>
      <c r="H16" s="432" t="n">
        <v>0.0</v>
      </c>
      <c r="I16" s="432" t="n">
        <v>0.0</v>
      </c>
      <c r="J16" s="443" t="str">
        <f t="shared" si="0"/>
        <v>－</v>
      </c>
      <c r="K16" s="442" t="n">
        <v>0.0</v>
      </c>
      <c r="L16" s="444" t="str">
        <f t="shared" si="1"/>
        <v>－</v>
      </c>
      <c r="M16" s="442" t="n">
        <v>0.0</v>
      </c>
      <c r="N16" s="444" t="str">
        <f t="shared" si="2"/>
        <v>－</v>
      </c>
      <c r="O16" s="442" t="n">
        <v>0.0</v>
      </c>
      <c r="P16" s="444" t="str">
        <f t="shared" si="3"/>
        <v>－</v>
      </c>
      <c r="Q16" s="442" t="n">
        <v>0.0</v>
      </c>
      <c r="R16" s="444" t="str">
        <f t="shared" si="4"/>
        <v>－</v>
      </c>
    </row>
    <row r="17" spans="1:18">
      <c r="A17" s="19"/>
      <c r="B17" s="1049" t="s">
        <v>21</v>
      </c>
      <c r="C17" s="430" t="s">
        <v>17</v>
      </c>
      <c r="D17" s="431" t="n">
        <v>2124.211</v>
      </c>
      <c r="E17" s="432" t="n">
        <v>2705.138</v>
      </c>
      <c r="F17" s="433" t="n">
        <v>1801.446</v>
      </c>
      <c r="G17" s="449" t="n">
        <v>1747.0</v>
      </c>
      <c r="H17" s="450" t="n">
        <v>1748.0</v>
      </c>
      <c r="I17" s="450" t="n">
        <v>1748.0</v>
      </c>
      <c r="J17" s="451" t="n">
        <f t="shared" si="0"/>
        <v>0.9701465748441346</v>
      </c>
      <c r="K17" s="449" t="n">
        <v>1748.0</v>
      </c>
      <c r="L17" s="452" t="n">
        <f t="shared" si="1"/>
        <v>0.9703316113832999</v>
      </c>
      <c r="M17" s="449" t="n">
        <v>1265.0</v>
      </c>
      <c r="N17" s="452" t="n">
        <f t="shared" si="2"/>
        <v>0.7022136661326512</v>
      </c>
      <c r="O17" s="449" t="n">
        <v>1265.0</v>
      </c>
      <c r="P17" s="452" t="n">
        <f t="shared" si="3"/>
        <v>0.7022136661326512</v>
      </c>
      <c r="Q17" s="449" t="n">
        <v>1265.0</v>
      </c>
      <c r="R17" s="452" t="n">
        <f t="shared" si="4"/>
        <v>0.7022136661326512</v>
      </c>
    </row>
    <row r="18" spans="1:18">
      <c r="A18" s="19"/>
      <c r="B18" s="1050"/>
      <c r="C18" s="430" t="s">
        <v>20</v>
      </c>
      <c r="D18" s="445" t="n">
        <v>30.5</v>
      </c>
      <c r="E18" s="446" t="n">
        <v>38.583333333333336</v>
      </c>
      <c r="F18" s="447" t="n">
        <v>25.9</v>
      </c>
      <c r="G18" s="448" t="n">
        <v>25.0</v>
      </c>
      <c r="H18" s="446" t="n">
        <v>25.0</v>
      </c>
      <c r="I18" s="446" t="n">
        <v>25.0</v>
      </c>
      <c r="J18" s="453" t="n">
        <f t="shared" si="0"/>
        <v>0.9652509652509653</v>
      </c>
      <c r="K18" s="448" t="n">
        <v>25.0</v>
      </c>
      <c r="L18" s="444" t="n">
        <f t="shared" si="1"/>
        <v>0.9652509652509653</v>
      </c>
      <c r="M18" s="448" t="n">
        <v>18.2</v>
      </c>
      <c r="N18" s="444" t="n">
        <f t="shared" si="2"/>
        <v>0.7027027027027027</v>
      </c>
      <c r="O18" s="448" t="n">
        <v>18.2</v>
      </c>
      <c r="P18" s="444" t="n">
        <f t="shared" si="3"/>
        <v>0.7027027027027027</v>
      </c>
      <c r="Q18" s="448" t="n">
        <v>18.2</v>
      </c>
      <c r="R18" s="444" t="n">
        <f t="shared" si="4"/>
        <v>0.7027027027027027</v>
      </c>
    </row>
    <row r="19" spans="1:18">
      <c r="A19" s="19"/>
      <c r="B19" s="832"/>
      <c r="C19" s="430" t="s">
        <v>18</v>
      </c>
      <c r="D19" s="431" t="n">
        <v>6.833333333333333</v>
      </c>
      <c r="E19" s="432" t="n">
        <v>7.916666666666667</v>
      </c>
      <c r="F19" s="433" t="n">
        <v>7.0</v>
      </c>
      <c r="G19" s="442" t="n">
        <v>7.0</v>
      </c>
      <c r="H19" s="432" t="n">
        <v>7.0</v>
      </c>
      <c r="I19" s="432" t="n">
        <v>7.0</v>
      </c>
      <c r="J19" s="443" t="n">
        <f t="shared" si="0"/>
        <v>1.0</v>
      </c>
      <c r="K19" s="442" t="n">
        <v>7.0</v>
      </c>
      <c r="L19" s="444" t="n">
        <f t="shared" si="1"/>
        <v>1.0</v>
      </c>
      <c r="M19" s="442" t="n">
        <v>5.0</v>
      </c>
      <c r="N19" s="444" t="n">
        <f t="shared" si="2"/>
        <v>0.7142857142857143</v>
      </c>
      <c r="O19" s="442" t="n">
        <v>5.0</v>
      </c>
      <c r="P19" s="444" t="n">
        <f t="shared" si="3"/>
        <v>0.7142857142857143</v>
      </c>
      <c r="Q19" s="442" t="n">
        <v>5.0</v>
      </c>
      <c r="R19" s="444" t="n">
        <f t="shared" si="4"/>
        <v>0.7142857142857143</v>
      </c>
    </row>
    <row r="20" spans="1:18">
      <c r="A20" s="19"/>
      <c r="B20" s="1049" t="s">
        <v>22</v>
      </c>
      <c r="C20" s="430" t="s">
        <v>17</v>
      </c>
      <c r="D20" s="431" t="n">
        <v>0.0</v>
      </c>
      <c r="E20" s="432" t="n">
        <v>0.0</v>
      </c>
      <c r="F20" s="433" t="n">
        <v>0.0</v>
      </c>
      <c r="G20" s="449" t="n">
        <v>0.0</v>
      </c>
      <c r="H20" s="450" t="n">
        <v>0.0</v>
      </c>
      <c r="I20" s="450" t="n">
        <v>0.0</v>
      </c>
      <c r="J20" s="451" t="str">
        <f t="shared" si="0"/>
        <v>－</v>
      </c>
      <c r="K20" s="449" t="n">
        <v>0.0</v>
      </c>
      <c r="L20" s="452" t="str">
        <f t="shared" si="1"/>
        <v>－</v>
      </c>
      <c r="M20" s="449" t="n">
        <v>0.0</v>
      </c>
      <c r="N20" s="452" t="str">
        <f t="shared" si="2"/>
        <v>－</v>
      </c>
      <c r="O20" s="449" t="n">
        <v>0.0</v>
      </c>
      <c r="P20" s="452" t="str">
        <f t="shared" si="3"/>
        <v>－</v>
      </c>
      <c r="Q20" s="449" t="n">
        <v>0.0</v>
      </c>
      <c r="R20" s="452" t="str">
        <f t="shared" si="4"/>
        <v>－</v>
      </c>
    </row>
    <row r="21" spans="1:18">
      <c r="A21" s="19"/>
      <c r="B21" s="1050"/>
      <c r="C21" s="430" t="s">
        <v>20</v>
      </c>
      <c r="D21" s="445" t="n">
        <v>0.0</v>
      </c>
      <c r="E21" s="446" t="n">
        <v>0.0</v>
      </c>
      <c r="F21" s="447" t="n">
        <v>0.0</v>
      </c>
      <c r="G21" s="448" t="n">
        <v>0.0</v>
      </c>
      <c r="H21" s="446" t="n">
        <v>0.0</v>
      </c>
      <c r="I21" s="446" t="n">
        <v>0.0</v>
      </c>
      <c r="J21" s="443" t="str">
        <f t="shared" si="0"/>
        <v>－</v>
      </c>
      <c r="K21" s="448" t="n">
        <v>0.0</v>
      </c>
      <c r="L21" s="444" t="str">
        <f t="shared" si="1"/>
        <v>－</v>
      </c>
      <c r="M21" s="448" t="n">
        <v>0.0</v>
      </c>
      <c r="N21" s="444" t="str">
        <f t="shared" si="2"/>
        <v>－</v>
      </c>
      <c r="O21" s="448" t="n">
        <v>0.0</v>
      </c>
      <c r="P21" s="444" t="str">
        <f t="shared" si="3"/>
        <v>－</v>
      </c>
      <c r="Q21" s="448" t="n">
        <v>0.0</v>
      </c>
      <c r="R21" s="444" t="str">
        <f t="shared" si="4"/>
        <v>－</v>
      </c>
    </row>
    <row r="22" spans="1:18">
      <c r="A22" s="19"/>
      <c r="B22" s="832"/>
      <c r="C22" s="430" t="s">
        <v>18</v>
      </c>
      <c r="D22" s="431" t="n">
        <v>0.0</v>
      </c>
      <c r="E22" s="432" t="n">
        <v>0.0</v>
      </c>
      <c r="F22" s="433" t="n">
        <v>0.0</v>
      </c>
      <c r="G22" s="442" t="n">
        <v>0.0</v>
      </c>
      <c r="H22" s="432" t="n">
        <v>0.0</v>
      </c>
      <c r="I22" s="432" t="n">
        <v>0.0</v>
      </c>
      <c r="J22" s="443" t="str">
        <f t="shared" si="0"/>
        <v>－</v>
      </c>
      <c r="K22" s="442" t="n">
        <v>0.0</v>
      </c>
      <c r="L22" s="444" t="str">
        <f t="shared" si="1"/>
        <v>－</v>
      </c>
      <c r="M22" s="442" t="n">
        <v>0.0</v>
      </c>
      <c r="N22" s="444" t="str">
        <f t="shared" si="2"/>
        <v>－</v>
      </c>
      <c r="O22" s="442" t="n">
        <v>0.0</v>
      </c>
      <c r="P22" s="444" t="str">
        <f t="shared" si="3"/>
        <v>－</v>
      </c>
      <c r="Q22" s="442" t="n">
        <v>0.0</v>
      </c>
      <c r="R22" s="444" t="str">
        <f t="shared" si="4"/>
        <v>－</v>
      </c>
    </row>
    <row r="23" spans="1:18">
      <c r="A23" s="19"/>
      <c r="B23" s="1049" t="s">
        <v>23</v>
      </c>
      <c r="C23" s="430" t="s">
        <v>17</v>
      </c>
      <c r="D23" s="431" t="n">
        <v>58.842</v>
      </c>
      <c r="E23" s="432" t="n">
        <v>207.536</v>
      </c>
      <c r="F23" s="433" t="n">
        <v>180.672</v>
      </c>
      <c r="G23" s="449" t="n">
        <v>227.0</v>
      </c>
      <c r="H23" s="450" t="n">
        <v>227.0</v>
      </c>
      <c r="I23" s="450" t="n">
        <v>227.0</v>
      </c>
      <c r="J23" s="451" t="n">
        <f t="shared" si="0"/>
        <v>1.2564204746723344</v>
      </c>
      <c r="K23" s="449" t="n">
        <v>227.0</v>
      </c>
      <c r="L23" s="452" t="n">
        <f t="shared" si="1"/>
        <v>1.2564204746723344</v>
      </c>
      <c r="M23" s="449" t="n">
        <v>182.0</v>
      </c>
      <c r="N23" s="452" t="n">
        <f t="shared" si="2"/>
        <v>1.0073503365214311</v>
      </c>
      <c r="O23" s="449" t="n">
        <v>182.0</v>
      </c>
      <c r="P23" s="452" t="n">
        <f t="shared" si="3"/>
        <v>1.0073503365214311</v>
      </c>
      <c r="Q23" s="449" t="n">
        <v>182.0</v>
      </c>
      <c r="R23" s="452" t="n">
        <f t="shared" si="4"/>
        <v>1.0073503365214311</v>
      </c>
    </row>
    <row r="24" spans="1:18">
      <c r="A24" s="19"/>
      <c r="B24" s="1051"/>
      <c r="C24" s="430" t="s">
        <v>18</v>
      </c>
      <c r="D24" s="431" t="n">
        <v>1.0833333333333333</v>
      </c>
      <c r="E24" s="432" t="n">
        <v>2.9166666666666665</v>
      </c>
      <c r="F24" s="433" t="n">
        <v>4.0</v>
      </c>
      <c r="G24" s="442" t="n">
        <v>5.0</v>
      </c>
      <c r="H24" s="432" t="n">
        <v>5.0</v>
      </c>
      <c r="I24" s="432" t="n">
        <v>5.0</v>
      </c>
      <c r="J24" s="443" t="n">
        <f t="shared" si="0"/>
        <v>1.25</v>
      </c>
      <c r="K24" s="442" t="n">
        <v>5.0</v>
      </c>
      <c r="L24" s="444" t="n">
        <f t="shared" si="1"/>
        <v>1.25</v>
      </c>
      <c r="M24" s="442" t="n">
        <v>4.0</v>
      </c>
      <c r="N24" s="444" t="n">
        <f t="shared" si="2"/>
        <v>1.0</v>
      </c>
      <c r="O24" s="442" t="n">
        <v>4.0</v>
      </c>
      <c r="P24" s="444" t="n">
        <f t="shared" si="3"/>
        <v>1.0</v>
      </c>
      <c r="Q24" s="442" t="n">
        <v>4.0</v>
      </c>
      <c r="R24" s="444" t="n">
        <f t="shared" si="4"/>
        <v>1.0</v>
      </c>
    </row>
    <row r="25" spans="1:18" hidden="1">
      <c r="A25" s="19"/>
      <c r="B25" s="1049" t="s">
        <v>312</v>
      </c>
      <c r="C25" s="430" t="s">
        <v>17</v>
      </c>
      <c r="D25" s="431"/>
      <c r="E25" s="432"/>
      <c r="F25" s="433"/>
      <c r="G25" s="454"/>
      <c r="H25" s="455"/>
      <c r="I25" s="455"/>
      <c r="J25" s="456"/>
      <c r="K25" s="454"/>
      <c r="L25" s="457"/>
      <c r="M25" s="454"/>
      <c r="N25" s="457" t="str">
        <f t="shared" si="2"/>
        <v>－</v>
      </c>
      <c r="O25" s="454"/>
      <c r="P25" s="457" t="str">
        <f t="shared" si="3"/>
        <v>－</v>
      </c>
      <c r="Q25" s="454"/>
      <c r="R25" s="457" t="str">
        <f t="shared" si="4"/>
        <v>－</v>
      </c>
    </row>
    <row r="26" spans="1:18" hidden="1">
      <c r="A26" s="19"/>
      <c r="B26" s="1052"/>
      <c r="C26" s="430" t="s">
        <v>18</v>
      </c>
      <c r="D26" s="431"/>
      <c r="E26" s="432"/>
      <c r="F26" s="433"/>
      <c r="G26" s="438"/>
      <c r="H26" s="439"/>
      <c r="I26" s="439"/>
      <c r="J26" s="458"/>
      <c r="K26" s="438"/>
      <c r="L26" s="459"/>
      <c r="M26" s="438"/>
      <c r="N26" s="459" t="str">
        <f t="shared" si="2"/>
        <v>－</v>
      </c>
      <c r="O26" s="438"/>
      <c r="P26" s="459" t="str">
        <f t="shared" si="3"/>
        <v>－</v>
      </c>
      <c r="Q26" s="438"/>
      <c r="R26" s="459" t="str">
        <f t="shared" si="4"/>
        <v>－</v>
      </c>
    </row>
    <row r="27" spans="1:18">
      <c r="A27" s="19"/>
      <c r="B27" s="1049" t="s">
        <v>24</v>
      </c>
      <c r="C27" s="430" t="s">
        <v>17</v>
      </c>
      <c r="D27" s="431" t="n">
        <v>15908.844</v>
      </c>
      <c r="E27" s="432" t="n">
        <v>18168.312</v>
      </c>
      <c r="F27" s="433" t="n">
        <v>18310.248</v>
      </c>
      <c r="G27" s="449" t="n">
        <v>18713.0</v>
      </c>
      <c r="H27" s="450" t="n">
        <v>19179.0</v>
      </c>
      <c r="I27" s="450" t="n">
        <v>18930.0</v>
      </c>
      <c r="J27" s="451" t="n">
        <f t="shared" ref="J27:J46" si="5">IFERROR(SUM(G27:I27)/3/F27,"－")</f>
        <v>1.0344298267651355</v>
      </c>
      <c r="K27" s="449" t="n">
        <v>18640.0</v>
      </c>
      <c r="L27" s="452" t="n">
        <f t="shared" ref="L27:L47" si="6">IFERROR(K27/F27,"－")</f>
        <v>1.0180091498487622</v>
      </c>
      <c r="M27" s="449" t="n">
        <v>16859.0</v>
      </c>
      <c r="N27" s="452" t="n">
        <f t="shared" si="2"/>
        <v>0.9207412155204014</v>
      </c>
      <c r="O27" s="449" t="n">
        <v>14498.0</v>
      </c>
      <c r="P27" s="452" t="n">
        <f t="shared" si="3"/>
        <v>0.7917970308212101</v>
      </c>
      <c r="Q27" s="449" t="n">
        <v>13587.0</v>
      </c>
      <c r="R27" s="452" t="n">
        <f t="shared" si="4"/>
        <v>0.7420434720490952</v>
      </c>
    </row>
    <row r="28" spans="1:18">
      <c r="A28" s="19"/>
      <c r="B28" s="1051"/>
      <c r="C28" s="430" t="s">
        <v>18</v>
      </c>
      <c r="D28" s="431" t="n">
        <v>45.75</v>
      </c>
      <c r="E28" s="432" t="n">
        <v>51.333333333333336</v>
      </c>
      <c r="F28" s="433" t="n">
        <v>50.0</v>
      </c>
      <c r="G28" s="442" t="n">
        <v>52.0</v>
      </c>
      <c r="H28" s="432" t="n">
        <v>53.0</v>
      </c>
      <c r="I28" s="432" t="n">
        <v>52.0</v>
      </c>
      <c r="J28" s="443" t="n">
        <f t="shared" si="5"/>
        <v>1.0466666666666666</v>
      </c>
      <c r="K28" s="442" t="n">
        <v>50.0</v>
      </c>
      <c r="L28" s="444" t="n">
        <f t="shared" si="6"/>
        <v>1.0</v>
      </c>
      <c r="M28" s="442" t="n">
        <v>47.0</v>
      </c>
      <c r="N28" s="444" t="n">
        <f t="shared" si="2"/>
        <v>0.94</v>
      </c>
      <c r="O28" s="442" t="n">
        <v>40.0</v>
      </c>
      <c r="P28" s="444" t="n">
        <f t="shared" si="3"/>
        <v>0.8</v>
      </c>
      <c r="Q28" s="442" t="n">
        <v>38.0</v>
      </c>
      <c r="R28" s="444" t="n">
        <f t="shared" si="4"/>
        <v>0.76</v>
      </c>
    </row>
    <row r="29" spans="1:18">
      <c r="A29" s="19"/>
      <c r="B29" s="1049" t="s">
        <v>25</v>
      </c>
      <c r="C29" s="430" t="s">
        <v>17</v>
      </c>
      <c r="D29" s="431" t="n">
        <v>3390.122</v>
      </c>
      <c r="E29" s="432" t="n">
        <v>5430.776</v>
      </c>
      <c r="F29" s="433" t="n">
        <v>6973.824</v>
      </c>
      <c r="G29" s="449" t="n">
        <v>9640.0</v>
      </c>
      <c r="H29" s="450" t="n">
        <v>10387.0</v>
      </c>
      <c r="I29" s="450" t="n">
        <v>10387.0</v>
      </c>
      <c r="J29" s="451" t="n">
        <f t="shared" si="5"/>
        <v>1.453721803131252</v>
      </c>
      <c r="K29" s="449" t="n">
        <v>8161.0</v>
      </c>
      <c r="L29" s="452" t="n">
        <f t="shared" si="6"/>
        <v>1.170233146118973</v>
      </c>
      <c r="M29" s="449" t="n">
        <v>8161.0</v>
      </c>
      <c r="N29" s="452" t="n">
        <f t="shared" si="2"/>
        <v>1.170233146118973</v>
      </c>
      <c r="O29" s="449" t="n">
        <v>8161.0</v>
      </c>
      <c r="P29" s="452" t="n">
        <f t="shared" si="3"/>
        <v>1.170233146118973</v>
      </c>
      <c r="Q29" s="449" t="n">
        <v>7419.0</v>
      </c>
      <c r="R29" s="452" t="n">
        <f t="shared" si="4"/>
        <v>1.0638352788943342</v>
      </c>
    </row>
    <row r="30" spans="1:18">
      <c r="A30" s="19"/>
      <c r="B30" s="1050"/>
      <c r="C30" s="430" t="s">
        <v>26</v>
      </c>
      <c r="D30" s="445" t="n">
        <v>39.583333333333336</v>
      </c>
      <c r="E30" s="446" t="n">
        <v>63.833333333333336</v>
      </c>
      <c r="F30" s="447" t="n">
        <v>88.0</v>
      </c>
      <c r="G30" s="448" t="n">
        <v>120.9</v>
      </c>
      <c r="H30" s="446" t="n">
        <v>130.2</v>
      </c>
      <c r="I30" s="446" t="n">
        <v>130.2</v>
      </c>
      <c r="J30" s="443" t="n">
        <f t="shared" si="5"/>
        <v>1.4443181818181816</v>
      </c>
      <c r="K30" s="448" t="n">
        <v>102.3</v>
      </c>
      <c r="L30" s="444" t="n">
        <f t="shared" si="6"/>
        <v>1.1624999999999999</v>
      </c>
      <c r="M30" s="448" t="n">
        <v>102.3</v>
      </c>
      <c r="N30" s="444" t="n">
        <f t="shared" si="2"/>
        <v>1.1624999999999999</v>
      </c>
      <c r="O30" s="448" t="n">
        <v>102.3</v>
      </c>
      <c r="P30" s="444" t="n">
        <f t="shared" si="3"/>
        <v>1.1624999999999999</v>
      </c>
      <c r="Q30" s="448" t="n">
        <v>93.0</v>
      </c>
      <c r="R30" s="444" t="n">
        <f t="shared" si="4"/>
        <v>1.0568181818181819</v>
      </c>
    </row>
    <row r="31" spans="1:18">
      <c r="A31" s="19"/>
      <c r="B31" s="830"/>
      <c r="C31" s="430" t="s">
        <v>18</v>
      </c>
      <c r="D31" s="431" t="n">
        <v>7.75</v>
      </c>
      <c r="E31" s="432" t="n">
        <v>13.0</v>
      </c>
      <c r="F31" s="433" t="n">
        <v>11.0</v>
      </c>
      <c r="G31" s="442" t="n">
        <v>13.0</v>
      </c>
      <c r="H31" s="432" t="n">
        <v>14.0</v>
      </c>
      <c r="I31" s="432" t="n">
        <v>14.0</v>
      </c>
      <c r="J31" s="443" t="n">
        <f t="shared" si="5"/>
        <v>1.2424242424242424</v>
      </c>
      <c r="K31" s="442" t="n">
        <v>11.0</v>
      </c>
      <c r="L31" s="444" t="n">
        <f t="shared" si="6"/>
        <v>1.0</v>
      </c>
      <c r="M31" s="442" t="n">
        <v>11.0</v>
      </c>
      <c r="N31" s="444" t="n">
        <f t="shared" si="2"/>
        <v>1.0</v>
      </c>
      <c r="O31" s="442" t="n">
        <v>11.0</v>
      </c>
      <c r="P31" s="444" t="n">
        <f t="shared" si="3"/>
        <v>1.0</v>
      </c>
      <c r="Q31" s="442" t="n">
        <v>10.0</v>
      </c>
      <c r="R31" s="444" t="n">
        <f t="shared" si="4"/>
        <v>0.9090909090909091</v>
      </c>
    </row>
    <row r="32" spans="1:18">
      <c r="A32" s="19"/>
      <c r="B32" s="1047" t="s">
        <v>27</v>
      </c>
      <c r="C32" s="430" t="s">
        <v>17</v>
      </c>
      <c r="D32" s="431" t="n">
        <v>443.451</v>
      </c>
      <c r="E32" s="432" t="n">
        <v>871.328</v>
      </c>
      <c r="F32" s="433" t="n">
        <v>484.3584</v>
      </c>
      <c r="G32" s="449" t="n">
        <v>609.0</v>
      </c>
      <c r="H32" s="450" t="n">
        <v>610.0</v>
      </c>
      <c r="I32" s="450" t="n">
        <v>610.0</v>
      </c>
      <c r="J32" s="451" t="n">
        <f t="shared" si="5"/>
        <v>1.2587098038697515</v>
      </c>
      <c r="K32" s="449" t="n">
        <v>610.0</v>
      </c>
      <c r="L32" s="452" t="n">
        <f t="shared" si="6"/>
        <v>1.2593979994978923</v>
      </c>
      <c r="M32" s="449" t="n">
        <v>610.0</v>
      </c>
      <c r="N32" s="452" t="n">
        <f t="shared" si="2"/>
        <v>1.2593979994978923</v>
      </c>
      <c r="O32" s="449" t="n">
        <v>610.0</v>
      </c>
      <c r="P32" s="452" t="n">
        <f t="shared" si="3"/>
        <v>1.2593979994978923</v>
      </c>
      <c r="Q32" s="449" t="n">
        <v>610.0</v>
      </c>
      <c r="R32" s="452" t="n">
        <f t="shared" si="4"/>
        <v>1.2593979994978923</v>
      </c>
    </row>
    <row r="33" spans="1:18">
      <c r="A33" s="19"/>
      <c r="B33" s="1048"/>
      <c r="C33" s="430" t="s">
        <v>26</v>
      </c>
      <c r="D33" s="445" t="n">
        <v>4.416666666666667</v>
      </c>
      <c r="E33" s="446" t="n">
        <v>9.333333333333334</v>
      </c>
      <c r="F33" s="447" t="n">
        <v>4.8</v>
      </c>
      <c r="G33" s="448" t="n">
        <v>6.0</v>
      </c>
      <c r="H33" s="446" t="n">
        <v>6.0</v>
      </c>
      <c r="I33" s="446" t="n">
        <v>6.0</v>
      </c>
      <c r="J33" s="443" t="n">
        <f t="shared" si="5"/>
        <v>1.25</v>
      </c>
      <c r="K33" s="448" t="n">
        <v>6.0</v>
      </c>
      <c r="L33" s="444" t="n">
        <f t="shared" si="6"/>
        <v>1.25</v>
      </c>
      <c r="M33" s="448" t="n">
        <v>6.0</v>
      </c>
      <c r="N33" s="444" t="n">
        <f t="shared" si="2"/>
        <v>1.25</v>
      </c>
      <c r="O33" s="448" t="n">
        <v>6.0</v>
      </c>
      <c r="P33" s="444" t="n">
        <f t="shared" si="3"/>
        <v>1.25</v>
      </c>
      <c r="Q33" s="448" t="n">
        <v>6.0</v>
      </c>
      <c r="R33" s="444" t="n">
        <f t="shared" si="4"/>
        <v>1.25</v>
      </c>
    </row>
    <row r="34" spans="1:18">
      <c r="A34" s="19"/>
      <c r="B34" s="832"/>
      <c r="C34" s="430" t="s">
        <v>18</v>
      </c>
      <c r="D34" s="431" t="n">
        <v>1.1666666666666667</v>
      </c>
      <c r="E34" s="432" t="n">
        <v>1.8333333333333333</v>
      </c>
      <c r="F34" s="433" t="n">
        <v>2.0</v>
      </c>
      <c r="G34" s="442" t="n">
        <v>2.0</v>
      </c>
      <c r="H34" s="432" t="n">
        <v>2.0</v>
      </c>
      <c r="I34" s="432" t="n">
        <v>2.0</v>
      </c>
      <c r="J34" s="443" t="n">
        <f t="shared" si="5"/>
        <v>1.0</v>
      </c>
      <c r="K34" s="442" t="n">
        <v>2.0</v>
      </c>
      <c r="L34" s="444" t="n">
        <f t="shared" si="6"/>
        <v>1.0</v>
      </c>
      <c r="M34" s="442" t="n">
        <v>2.0</v>
      </c>
      <c r="N34" s="444" t="n">
        <f t="shared" si="2"/>
        <v>1.0</v>
      </c>
      <c r="O34" s="442" t="n">
        <v>2.0</v>
      </c>
      <c r="P34" s="444" t="n">
        <f t="shared" si="3"/>
        <v>1.0</v>
      </c>
      <c r="Q34" s="442" t="n">
        <v>2.0</v>
      </c>
      <c r="R34" s="444" t="n">
        <f t="shared" si="4"/>
        <v>1.0</v>
      </c>
    </row>
    <row r="35" spans="1:18">
      <c r="A35" s="19"/>
      <c r="B35" s="1047" t="s">
        <v>28</v>
      </c>
      <c r="C35" s="430" t="s">
        <v>17</v>
      </c>
      <c r="D35" s="431" t="n">
        <v>0.0</v>
      </c>
      <c r="E35" s="432" t="n">
        <v>0.0</v>
      </c>
      <c r="F35" s="433" t="n">
        <v>0.0</v>
      </c>
      <c r="G35" s="449" t="n">
        <v>0.0</v>
      </c>
      <c r="H35" s="450" t="n">
        <v>0.0</v>
      </c>
      <c r="I35" s="450" t="n">
        <v>0.0</v>
      </c>
      <c r="J35" s="443" t="str">
        <f t="shared" si="5"/>
        <v>－</v>
      </c>
      <c r="K35" s="449" t="n">
        <v>0.0</v>
      </c>
      <c r="L35" s="444" t="str">
        <f t="shared" si="6"/>
        <v>－</v>
      </c>
      <c r="M35" s="449" t="n">
        <v>0.0</v>
      </c>
      <c r="N35" s="444" t="str">
        <f t="shared" si="2"/>
        <v>－</v>
      </c>
      <c r="O35" s="449" t="n">
        <v>0.0</v>
      </c>
      <c r="P35" s="444" t="str">
        <f t="shared" si="3"/>
        <v>－</v>
      </c>
      <c r="Q35" s="449" t="n">
        <v>0.0</v>
      </c>
      <c r="R35" s="444" t="str">
        <f t="shared" si="4"/>
        <v>－</v>
      </c>
    </row>
    <row r="36" spans="1:18">
      <c r="A36" s="19"/>
      <c r="B36" s="1048"/>
      <c r="C36" s="430" t="s">
        <v>26</v>
      </c>
      <c r="D36" s="445" t="n">
        <v>0.0</v>
      </c>
      <c r="E36" s="446" t="n">
        <v>0.0</v>
      </c>
      <c r="F36" s="447" t="n">
        <v>0.0</v>
      </c>
      <c r="G36" s="448" t="n">
        <v>0.0</v>
      </c>
      <c r="H36" s="446" t="n">
        <v>0.0</v>
      </c>
      <c r="I36" s="446" t="n">
        <v>0.0</v>
      </c>
      <c r="J36" s="443" t="str">
        <f t="shared" si="5"/>
        <v>－</v>
      </c>
      <c r="K36" s="448" t="n">
        <v>0.0</v>
      </c>
      <c r="L36" s="444" t="str">
        <f t="shared" si="6"/>
        <v>－</v>
      </c>
      <c r="M36" s="448" t="n">
        <v>0.0</v>
      </c>
      <c r="N36" s="444" t="str">
        <f t="shared" si="2"/>
        <v>－</v>
      </c>
      <c r="O36" s="448" t="n">
        <v>0.0</v>
      </c>
      <c r="P36" s="444" t="str">
        <f t="shared" si="3"/>
        <v>－</v>
      </c>
      <c r="Q36" s="448" t="n">
        <v>0.0</v>
      </c>
      <c r="R36" s="444" t="str">
        <f t="shared" si="4"/>
        <v>－</v>
      </c>
    </row>
    <row r="37" spans="1:18">
      <c r="A37" s="19"/>
      <c r="B37" s="29"/>
      <c r="C37" s="430" t="s">
        <v>18</v>
      </c>
      <c r="D37" s="431" t="n">
        <v>0.0</v>
      </c>
      <c r="E37" s="432" t="n">
        <v>0.0</v>
      </c>
      <c r="F37" s="433" t="n">
        <v>0.0</v>
      </c>
      <c r="G37" s="442" t="n">
        <v>0.0</v>
      </c>
      <c r="H37" s="432" t="n">
        <v>0.0</v>
      </c>
      <c r="I37" s="432" t="n">
        <v>0.0</v>
      </c>
      <c r="J37" s="443" t="str">
        <f t="shared" si="5"/>
        <v>－</v>
      </c>
      <c r="K37" s="442" t="n">
        <v>0.0</v>
      </c>
      <c r="L37" s="444" t="str">
        <f t="shared" si="6"/>
        <v>－</v>
      </c>
      <c r="M37" s="442" t="n">
        <v>0.0</v>
      </c>
      <c r="N37" s="444" t="str">
        <f t="shared" si="2"/>
        <v>－</v>
      </c>
      <c r="O37" s="442" t="n">
        <v>0.0</v>
      </c>
      <c r="P37" s="444" t="str">
        <f t="shared" si="3"/>
        <v>－</v>
      </c>
      <c r="Q37" s="442" t="n">
        <v>0.0</v>
      </c>
      <c r="R37" s="444" t="str">
        <f t="shared" si="4"/>
        <v>－</v>
      </c>
    </row>
    <row r="38" spans="1:18">
      <c r="A38" s="19"/>
      <c r="B38" s="1047" t="s">
        <v>316</v>
      </c>
      <c r="C38" s="460" t="s">
        <v>17</v>
      </c>
      <c r="D38" s="461" t="n">
        <v>0.0</v>
      </c>
      <c r="E38" s="432" t="n">
        <v>0.0</v>
      </c>
      <c r="F38" s="462" t="n">
        <v>0.0</v>
      </c>
      <c r="G38" s="449" t="n">
        <v>0.0</v>
      </c>
      <c r="H38" s="450" t="n">
        <v>0.0</v>
      </c>
      <c r="I38" s="450" t="n">
        <v>0.0</v>
      </c>
      <c r="J38" s="463" t="str">
        <f t="shared" si="5"/>
        <v>－</v>
      </c>
      <c r="K38" s="449" t="n">
        <v>0.0</v>
      </c>
      <c r="L38" s="464" t="str">
        <f t="shared" si="6"/>
        <v>－</v>
      </c>
      <c r="M38" s="449" t="n">
        <v>0.0</v>
      </c>
      <c r="N38" s="464" t="str">
        <f t="shared" si="2"/>
        <v>－</v>
      </c>
      <c r="O38" s="449" t="n">
        <v>0.0</v>
      </c>
      <c r="P38" s="464" t="str">
        <f t="shared" si="3"/>
        <v>－</v>
      </c>
      <c r="Q38" s="449" t="n">
        <v>0.0</v>
      </c>
      <c r="R38" s="464" t="str">
        <f t="shared" si="4"/>
        <v>－</v>
      </c>
    </row>
    <row r="39" spans="1:18">
      <c r="A39" s="19"/>
      <c r="B39" s="1048"/>
      <c r="C39" s="460" t="s">
        <v>26</v>
      </c>
      <c r="D39" s="465" t="n">
        <v>0.0</v>
      </c>
      <c r="E39" s="446" t="n">
        <v>0.0</v>
      </c>
      <c r="F39" s="466" t="n">
        <v>0.0</v>
      </c>
      <c r="G39" s="448" t="n">
        <v>0.0</v>
      </c>
      <c r="H39" s="446" t="n">
        <v>0.0</v>
      </c>
      <c r="I39" s="446" t="n">
        <v>0.0</v>
      </c>
      <c r="J39" s="463" t="str">
        <f t="shared" si="5"/>
        <v>－</v>
      </c>
      <c r="K39" s="448" t="n">
        <v>0.0</v>
      </c>
      <c r="L39" s="464" t="str">
        <f t="shared" si="6"/>
        <v>－</v>
      </c>
      <c r="M39" s="448" t="n">
        <v>0.0</v>
      </c>
      <c r="N39" s="464" t="str">
        <f t="shared" si="2"/>
        <v>－</v>
      </c>
      <c r="O39" s="448" t="n">
        <v>0.0</v>
      </c>
      <c r="P39" s="464" t="str">
        <f t="shared" si="3"/>
        <v>－</v>
      </c>
      <c r="Q39" s="448" t="n">
        <v>0.0</v>
      </c>
      <c r="R39" s="464" t="str">
        <f t="shared" si="4"/>
        <v>－</v>
      </c>
    </row>
    <row r="40" spans="1:18">
      <c r="A40" s="19"/>
      <c r="B40" s="29"/>
      <c r="C40" s="460" t="s">
        <v>18</v>
      </c>
      <c r="D40" s="461" t="n">
        <v>0.0</v>
      </c>
      <c r="E40" s="432" t="n">
        <v>0.0</v>
      </c>
      <c r="F40" s="462" t="n">
        <v>0.0</v>
      </c>
      <c r="G40" s="442" t="n">
        <v>0.0</v>
      </c>
      <c r="H40" s="432" t="n">
        <v>0.0</v>
      </c>
      <c r="I40" s="432" t="n">
        <v>0.0</v>
      </c>
      <c r="J40" s="463" t="str">
        <f t="shared" si="5"/>
        <v>－</v>
      </c>
      <c r="K40" s="442" t="n">
        <v>0.0</v>
      </c>
      <c r="L40" s="464" t="str">
        <f t="shared" si="6"/>
        <v>－</v>
      </c>
      <c r="M40" s="442" t="n">
        <v>0.0</v>
      </c>
      <c r="N40" s="464" t="str">
        <f t="shared" si="2"/>
        <v>－</v>
      </c>
      <c r="O40" s="442" t="n">
        <v>0.0</v>
      </c>
      <c r="P40" s="464" t="str">
        <f t="shared" si="3"/>
        <v>－</v>
      </c>
      <c r="Q40" s="442" t="n">
        <v>0.0</v>
      </c>
      <c r="R40" s="464" t="str">
        <f t="shared" si="4"/>
        <v>－</v>
      </c>
    </row>
    <row r="41" spans="1:18">
      <c r="A41" s="19"/>
      <c r="B41" s="1049" t="s">
        <v>29</v>
      </c>
      <c r="C41" s="430" t="s">
        <v>17</v>
      </c>
      <c r="D41" s="431" t="n">
        <v>3169.885</v>
      </c>
      <c r="E41" s="432" t="n">
        <v>4460.368</v>
      </c>
      <c r="F41" s="433" t="n">
        <v>11273.124</v>
      </c>
      <c r="G41" s="449" t="n">
        <v>8019.0</v>
      </c>
      <c r="H41" s="450" t="n">
        <v>7905.0</v>
      </c>
      <c r="I41" s="450" t="n">
        <v>7905.0</v>
      </c>
      <c r="J41" s="443" t="n">
        <f t="shared" si="5"/>
        <v>0.7045961705025156</v>
      </c>
      <c r="K41" s="449" t="n">
        <v>7792.0</v>
      </c>
      <c r="L41" s="444" t="n">
        <f t="shared" si="6"/>
        <v>0.6912014806188596</v>
      </c>
      <c r="M41" s="449" t="n">
        <v>7537.0</v>
      </c>
      <c r="N41" s="444" t="n">
        <f t="shared" si="2"/>
        <v>0.6685813089610299</v>
      </c>
      <c r="O41" s="449" t="n">
        <v>7170.0</v>
      </c>
      <c r="P41" s="444" t="n">
        <f t="shared" si="3"/>
        <v>0.6360260030848592</v>
      </c>
      <c r="Q41" s="449" t="n">
        <v>6434.0</v>
      </c>
      <c r="R41" s="444" t="n">
        <f t="shared" si="4"/>
        <v>0.5707379782214762</v>
      </c>
    </row>
    <row r="42" spans="1:18">
      <c r="A42" s="19"/>
      <c r="B42" s="1051"/>
      <c r="C42" s="430" t="s">
        <v>18</v>
      </c>
      <c r="D42" s="431" t="n">
        <v>57.083333333333336</v>
      </c>
      <c r="E42" s="432" t="n">
        <v>76.25</v>
      </c>
      <c r="F42" s="433" t="n">
        <v>92.0</v>
      </c>
      <c r="G42" s="442" t="n">
        <v>65.0</v>
      </c>
      <c r="H42" s="432" t="n">
        <v>64.0</v>
      </c>
      <c r="I42" s="432" t="n">
        <v>64.0</v>
      </c>
      <c r="J42" s="443" t="n">
        <f t="shared" si="5"/>
        <v>0.6992753623188406</v>
      </c>
      <c r="K42" s="442" t="n">
        <v>63.0</v>
      </c>
      <c r="L42" s="444" t="n">
        <f t="shared" si="6"/>
        <v>0.6847826086956522</v>
      </c>
      <c r="M42" s="442" t="n">
        <v>61.0</v>
      </c>
      <c r="N42" s="444" t="n">
        <f t="shared" si="2"/>
        <v>0.6630434782608695</v>
      </c>
      <c r="O42" s="442" t="n">
        <v>58.0</v>
      </c>
      <c r="P42" s="444" t="n">
        <f t="shared" si="3"/>
        <v>0.6304347826086957</v>
      </c>
      <c r="Q42" s="442" t="n">
        <v>52.0</v>
      </c>
      <c r="R42" s="444" t="n">
        <f t="shared" si="4"/>
        <v>0.5652173913043478</v>
      </c>
    </row>
    <row r="43" spans="1:18">
      <c r="A43" s="19"/>
      <c r="B43" s="1049" t="s">
        <v>30</v>
      </c>
      <c r="C43" s="430" t="s">
        <v>17</v>
      </c>
      <c r="D43" s="431" t="n">
        <v>417.052</v>
      </c>
      <c r="E43" s="432" t="n">
        <v>475.619</v>
      </c>
      <c r="F43" s="433" t="n">
        <v>449.736</v>
      </c>
      <c r="G43" s="449" t="n">
        <v>654.0</v>
      </c>
      <c r="H43" s="450" t="n">
        <v>654.0</v>
      </c>
      <c r="I43" s="450" t="n">
        <v>654.0</v>
      </c>
      <c r="J43" s="443" t="n">
        <f t="shared" si="5"/>
        <v>1.4541864560542186</v>
      </c>
      <c r="K43" s="449" t="n">
        <v>654.0</v>
      </c>
      <c r="L43" s="444" t="n">
        <f t="shared" si="6"/>
        <v>1.4541864560542186</v>
      </c>
      <c r="M43" s="449" t="n">
        <v>654.0</v>
      </c>
      <c r="N43" s="444" t="n">
        <f t="shared" si="2"/>
        <v>1.4541864560542186</v>
      </c>
      <c r="O43" s="449" t="n">
        <v>654.0</v>
      </c>
      <c r="P43" s="444" t="n">
        <f t="shared" si="3"/>
        <v>1.4541864560542186</v>
      </c>
      <c r="Q43" s="449" t="n">
        <v>654.0</v>
      </c>
      <c r="R43" s="444" t="n">
        <f t="shared" si="4"/>
        <v>1.4541864560542186</v>
      </c>
    </row>
    <row r="44" spans="1:18">
      <c r="A44" s="19"/>
      <c r="B44" s="1051"/>
      <c r="C44" s="430" t="s">
        <v>18</v>
      </c>
      <c r="D44" s="431" t="n">
        <v>1.5</v>
      </c>
      <c r="E44" s="432" t="n">
        <v>1.75</v>
      </c>
      <c r="F44" s="433" t="n">
        <v>2.0</v>
      </c>
      <c r="G44" s="442" t="n">
        <v>3.0</v>
      </c>
      <c r="H44" s="432" t="n">
        <v>3.0</v>
      </c>
      <c r="I44" s="432" t="n">
        <v>3.0</v>
      </c>
      <c r="J44" s="443" t="n">
        <f t="shared" si="5"/>
        <v>1.5</v>
      </c>
      <c r="K44" s="442" t="n">
        <v>3.0</v>
      </c>
      <c r="L44" s="444" t="n">
        <f t="shared" si="6"/>
        <v>1.5</v>
      </c>
      <c r="M44" s="442" t="n">
        <v>3.0</v>
      </c>
      <c r="N44" s="444" t="n">
        <f t="shared" si="2"/>
        <v>1.5</v>
      </c>
      <c r="O44" s="442" t="n">
        <v>3.0</v>
      </c>
      <c r="P44" s="444" t="n">
        <f t="shared" si="3"/>
        <v>1.5</v>
      </c>
      <c r="Q44" s="442" t="n">
        <v>3.0</v>
      </c>
      <c r="R44" s="444" t="n">
        <f t="shared" si="4"/>
        <v>1.5</v>
      </c>
    </row>
    <row r="45" spans="1:18">
      <c r="A45" s="19"/>
      <c r="B45" s="16" t="s">
        <v>31</v>
      </c>
      <c r="C45" s="430" t="s">
        <v>17</v>
      </c>
      <c r="D45" s="431" t="n">
        <v>1224.495</v>
      </c>
      <c r="E45" s="432" t="n">
        <v>1562.84</v>
      </c>
      <c r="F45" s="433" t="n">
        <v>2215.152</v>
      </c>
      <c r="G45" s="449" t="n">
        <v>2215.0</v>
      </c>
      <c r="H45" s="450" t="n">
        <v>2215.0</v>
      </c>
      <c r="I45" s="450" t="n">
        <v>2215.0</v>
      </c>
      <c r="J45" s="443" t="n">
        <f t="shared" si="5"/>
        <v>0.9999313816839657</v>
      </c>
      <c r="K45" s="449" t="n">
        <v>2215.0</v>
      </c>
      <c r="L45" s="444" t="n">
        <f t="shared" si="6"/>
        <v>0.9999313816839657</v>
      </c>
      <c r="M45" s="449" t="n">
        <v>2215.0</v>
      </c>
      <c r="N45" s="444" t="n">
        <f t="shared" si="2"/>
        <v>0.9999313816839657</v>
      </c>
      <c r="O45" s="449" t="n">
        <v>2215.0</v>
      </c>
      <c r="P45" s="444" t="n">
        <f t="shared" si="3"/>
        <v>0.9999313816839657</v>
      </c>
      <c r="Q45" s="449" t="n">
        <v>2215.0</v>
      </c>
      <c r="R45" s="444" t="n">
        <f t="shared" si="4"/>
        <v>0.9999313816839657</v>
      </c>
    </row>
    <row r="46" spans="1:18">
      <c r="A46" s="19"/>
      <c r="B46" s="17"/>
      <c r="C46" s="430" t="s">
        <v>18</v>
      </c>
      <c r="D46" s="431" t="n">
        <v>1.5</v>
      </c>
      <c r="E46" s="432" t="n">
        <v>1.75</v>
      </c>
      <c r="F46" s="433" t="n">
        <v>3.0</v>
      </c>
      <c r="G46" s="442" t="n">
        <v>3.0</v>
      </c>
      <c r="H46" s="432" t="n">
        <v>3.0</v>
      </c>
      <c r="I46" s="432" t="n">
        <v>3.0</v>
      </c>
      <c r="J46" s="443" t="n">
        <f t="shared" si="5"/>
        <v>1.0</v>
      </c>
      <c r="K46" s="442" t="n">
        <v>3.0</v>
      </c>
      <c r="L46" s="444" t="n">
        <f t="shared" si="6"/>
        <v>1.0</v>
      </c>
      <c r="M46" s="442" t="n">
        <v>3.0</v>
      </c>
      <c r="N46" s="444" t="n">
        <f t="shared" si="2"/>
        <v>1.0</v>
      </c>
      <c r="O46" s="442" t="n">
        <v>3.0</v>
      </c>
      <c r="P46" s="444" t="n">
        <f t="shared" si="3"/>
        <v>1.0</v>
      </c>
      <c r="Q46" s="442" t="n">
        <v>3.0</v>
      </c>
      <c r="R46" s="444" t="n">
        <f t="shared" si="4"/>
        <v>1.0</v>
      </c>
    </row>
    <row r="47" spans="1:18">
      <c r="A47" s="19"/>
      <c r="B47" s="1053" t="s">
        <v>32</v>
      </c>
      <c r="C47" s="430" t="s">
        <v>17</v>
      </c>
      <c r="D47" s="431" t="n">
        <v>769.092</v>
      </c>
      <c r="E47" s="432" t="n">
        <v>663.24</v>
      </c>
      <c r="F47" s="433" t="n">
        <v>911.064</v>
      </c>
      <c r="G47" s="449" t="n">
        <v>917.0</v>
      </c>
      <c r="H47" s="450" t="n">
        <v>917.0</v>
      </c>
      <c r="I47" s="450" t="n">
        <v>917.0</v>
      </c>
      <c r="J47" s="451" t="n">
        <f>IFERROR(SUM(G47:I47)/3/F47,"－")</f>
        <v>1.006515458848116</v>
      </c>
      <c r="K47" s="449" t="n">
        <v>917.0</v>
      </c>
      <c r="L47" s="444" t="n">
        <f t="shared" si="6"/>
        <v>1.006515458848116</v>
      </c>
      <c r="M47" s="449" t="n">
        <v>917.0</v>
      </c>
      <c r="N47" s="444" t="n">
        <f t="shared" si="2"/>
        <v>1.006515458848116</v>
      </c>
      <c r="O47" s="449" t="n">
        <v>917.0</v>
      </c>
      <c r="P47" s="444" t="n">
        <f t="shared" si="3"/>
        <v>1.006515458848116</v>
      </c>
      <c r="Q47" s="449" t="n">
        <v>917.0</v>
      </c>
      <c r="R47" s="444" t="n">
        <f t="shared" si="4"/>
        <v>1.006515458848116</v>
      </c>
    </row>
    <row r="48" spans="1:18" ht="14.25" thickBot="1">
      <c r="A48" s="19"/>
      <c r="B48" s="1056"/>
      <c r="C48" s="430" t="s">
        <v>18</v>
      </c>
      <c r="D48" s="431" t="n">
        <v>1.0</v>
      </c>
      <c r="E48" s="432" t="n">
        <v>1.0</v>
      </c>
      <c r="F48" s="433" t="n">
        <v>1.0</v>
      </c>
      <c r="G48" s="467" t="n">
        <v>2.0</v>
      </c>
      <c r="H48" s="468" t="n">
        <v>2.0</v>
      </c>
      <c r="I48" s="468" t="n">
        <v>2.0</v>
      </c>
      <c r="J48" s="469" t="n">
        <f>IFERROR(SUM(G48:I48)/3/F48,"－")</f>
        <v>2.0</v>
      </c>
      <c r="K48" s="467" t="n">
        <v>2.0</v>
      </c>
      <c r="L48" s="470" t="n">
        <f>IFERROR(K48/F48,"－")</f>
        <v>2.0</v>
      </c>
      <c r="M48" s="467" t="n">
        <v>2.0</v>
      </c>
      <c r="N48" s="470" t="n">
        <f t="shared" si="2"/>
        <v>2.0</v>
      </c>
      <c r="O48" s="467" t="n">
        <v>2.0</v>
      </c>
      <c r="P48" s="470" t="n">
        <f t="shared" si="3"/>
        <v>2.0</v>
      </c>
      <c r="Q48" s="467" t="n">
        <v>2.0</v>
      </c>
      <c r="R48" s="470" t="n">
        <f t="shared" si="4"/>
        <v>2.0</v>
      </c>
    </row>
    <row r="49" spans="1:18">
      <c r="A49" s="18" t="s">
        <v>33</v>
      </c>
      <c r="B49" s="409"/>
      <c r="C49" s="471"/>
      <c r="D49" s="472"/>
      <c r="E49" s="473"/>
      <c r="F49" s="474"/>
      <c r="G49" s="475"/>
      <c r="H49" s="473"/>
      <c r="I49" s="473"/>
      <c r="J49" s="476"/>
      <c r="K49" s="475"/>
      <c r="L49" s="477"/>
      <c r="M49" s="475"/>
      <c r="N49" s="477"/>
      <c r="O49" s="475"/>
      <c r="P49" s="477"/>
      <c r="Q49" s="475"/>
      <c r="R49" s="477"/>
    </row>
    <row r="50" spans="1:18">
      <c r="A50" s="24"/>
      <c r="B50" s="1049" t="s">
        <v>34</v>
      </c>
      <c r="C50" s="430" t="s">
        <v>17</v>
      </c>
      <c r="D50" s="431" t="n">
        <v>0.0</v>
      </c>
      <c r="E50" s="432" t="n">
        <v>0.0</v>
      </c>
      <c r="F50" s="433" t="n">
        <v>0.0</v>
      </c>
      <c r="G50" s="449" t="n">
        <v>0.0</v>
      </c>
      <c r="H50" s="450" t="n">
        <v>0.0</v>
      </c>
      <c r="I50" s="450" t="n">
        <v>0.0</v>
      </c>
      <c r="J50" s="451" t="str">
        <f t="shared" ref="J50:J59" si="7">IFERROR(SUM(G50:I50)/3/F50,"－")</f>
        <v>－</v>
      </c>
      <c r="K50" s="449" t="n">
        <v>0.0</v>
      </c>
      <c r="L50" s="452" t="str">
        <f t="shared" ref="L50:L59" si="8">IFERROR(K50/F50,"－")</f>
        <v>－</v>
      </c>
      <c r="M50" s="449" t="n">
        <v>0.0</v>
      </c>
      <c r="N50" s="444" t="str">
        <f t="shared" si="2"/>
        <v>－</v>
      </c>
      <c r="O50" s="449" t="n">
        <v>0.0</v>
      </c>
      <c r="P50" s="452" t="str">
        <f t="shared" si="3"/>
        <v>－</v>
      </c>
      <c r="Q50" s="449" t="n">
        <v>0.0</v>
      </c>
      <c r="R50" s="452" t="str">
        <f t="shared" si="4"/>
        <v>－</v>
      </c>
    </row>
    <row r="51" spans="1:18">
      <c r="A51" s="19"/>
      <c r="B51" s="1050"/>
      <c r="C51" s="430" t="s">
        <v>20</v>
      </c>
      <c r="D51" s="445" t="n">
        <v>0.0</v>
      </c>
      <c r="E51" s="446" t="n">
        <v>0.0</v>
      </c>
      <c r="F51" s="447" t="n">
        <v>0.0</v>
      </c>
      <c r="G51" s="448" t="n">
        <v>0.0</v>
      </c>
      <c r="H51" s="446" t="n">
        <v>0.0</v>
      </c>
      <c r="I51" s="446" t="n">
        <v>0.0</v>
      </c>
      <c r="J51" s="443" t="str">
        <f t="shared" si="7"/>
        <v>－</v>
      </c>
      <c r="K51" s="448" t="n">
        <v>0.0</v>
      </c>
      <c r="L51" s="444" t="str">
        <f t="shared" si="8"/>
        <v>－</v>
      </c>
      <c r="M51" s="448" t="n">
        <v>0.0</v>
      </c>
      <c r="N51" s="444" t="str">
        <f t="shared" si="2"/>
        <v>－</v>
      </c>
      <c r="O51" s="448" t="n">
        <v>0.0</v>
      </c>
      <c r="P51" s="444" t="str">
        <f t="shared" si="3"/>
        <v>－</v>
      </c>
      <c r="Q51" s="448" t="n">
        <v>0.0</v>
      </c>
      <c r="R51" s="444" t="str">
        <f t="shared" si="4"/>
        <v>－</v>
      </c>
    </row>
    <row r="52" spans="1:18">
      <c r="A52" s="19"/>
      <c r="B52" s="478"/>
      <c r="C52" s="430" t="s">
        <v>18</v>
      </c>
      <c r="D52" s="431" t="n">
        <v>0.0</v>
      </c>
      <c r="E52" s="432" t="n">
        <v>0.0</v>
      </c>
      <c r="F52" s="433" t="n">
        <v>0.0</v>
      </c>
      <c r="G52" s="442" t="n">
        <v>0.0</v>
      </c>
      <c r="H52" s="432" t="n">
        <v>0.0</v>
      </c>
      <c r="I52" s="432" t="n">
        <v>0.0</v>
      </c>
      <c r="J52" s="443" t="str">
        <f t="shared" si="7"/>
        <v>－</v>
      </c>
      <c r="K52" s="442" t="n">
        <v>0.0</v>
      </c>
      <c r="L52" s="444" t="str">
        <f t="shared" si="8"/>
        <v>－</v>
      </c>
      <c r="M52" s="442" t="n">
        <v>0.0</v>
      </c>
      <c r="N52" s="444" t="str">
        <f t="shared" si="2"/>
        <v>－</v>
      </c>
      <c r="O52" s="442" t="n">
        <v>0.0</v>
      </c>
      <c r="P52" s="444" t="str">
        <f t="shared" si="3"/>
        <v>－</v>
      </c>
      <c r="Q52" s="442" t="n">
        <v>0.0</v>
      </c>
      <c r="R52" s="444" t="str">
        <f t="shared" si="4"/>
        <v>－</v>
      </c>
    </row>
    <row r="53" spans="1:18">
      <c r="A53" s="24"/>
      <c r="B53" s="1049" t="s">
        <v>35</v>
      </c>
      <c r="C53" s="430" t="s">
        <v>17</v>
      </c>
      <c r="D53" s="431" t="n">
        <v>630.651</v>
      </c>
      <c r="E53" s="432" t="n">
        <v>0.0</v>
      </c>
      <c r="F53" s="433" t="n">
        <v>0.0</v>
      </c>
      <c r="G53" s="449" t="n">
        <v>0.0</v>
      </c>
      <c r="H53" s="450" t="n">
        <v>0.0</v>
      </c>
      <c r="I53" s="450" t="n">
        <v>0.0</v>
      </c>
      <c r="J53" s="451" t="str">
        <f t="shared" si="7"/>
        <v>－</v>
      </c>
      <c r="K53" s="449" t="n">
        <v>0.0</v>
      </c>
      <c r="L53" s="452" t="str">
        <f t="shared" si="8"/>
        <v>－</v>
      </c>
      <c r="M53" s="449" t="n">
        <v>0.0</v>
      </c>
      <c r="N53" s="452" t="str">
        <f t="shared" si="2"/>
        <v>－</v>
      </c>
      <c r="O53" s="449" t="n">
        <v>0.0</v>
      </c>
      <c r="P53" s="452" t="str">
        <f t="shared" si="3"/>
        <v>－</v>
      </c>
      <c r="Q53" s="449" t="n">
        <v>0.0</v>
      </c>
      <c r="R53" s="452" t="str">
        <f t="shared" si="4"/>
        <v>－</v>
      </c>
    </row>
    <row r="54" spans="1:18">
      <c r="A54" s="19"/>
      <c r="B54" s="1051"/>
      <c r="C54" s="430" t="s">
        <v>18</v>
      </c>
      <c r="D54" s="431" t="n">
        <v>0.5833333333333334</v>
      </c>
      <c r="E54" s="432" t="n">
        <v>0.0</v>
      </c>
      <c r="F54" s="433" t="n">
        <v>0.0</v>
      </c>
      <c r="G54" s="442" t="n">
        <v>0.0</v>
      </c>
      <c r="H54" s="432" t="n">
        <v>0.0</v>
      </c>
      <c r="I54" s="432" t="n">
        <v>0.0</v>
      </c>
      <c r="J54" s="443" t="str">
        <f t="shared" si="7"/>
        <v>－</v>
      </c>
      <c r="K54" s="442" t="n">
        <v>0.0</v>
      </c>
      <c r="L54" s="444" t="str">
        <f t="shared" si="8"/>
        <v>－</v>
      </c>
      <c r="M54" s="442" t="n">
        <v>0.0</v>
      </c>
      <c r="N54" s="444" t="str">
        <f t="shared" si="2"/>
        <v>－</v>
      </c>
      <c r="O54" s="442" t="n">
        <v>0.0</v>
      </c>
      <c r="P54" s="444" t="str">
        <f t="shared" si="3"/>
        <v>－</v>
      </c>
      <c r="Q54" s="442" t="n">
        <v>0.0</v>
      </c>
      <c r="R54" s="444" t="str">
        <f t="shared" si="4"/>
        <v>－</v>
      </c>
    </row>
    <row r="55" spans="1:18">
      <c r="A55" s="19"/>
      <c r="B55" s="1053" t="s">
        <v>36</v>
      </c>
      <c r="C55" s="430" t="s">
        <v>17</v>
      </c>
      <c r="D55" s="431" t="n">
        <v>3641.232</v>
      </c>
      <c r="E55" s="432" t="n">
        <v>328.024</v>
      </c>
      <c r="F55" s="433" t="n">
        <v>2498.796</v>
      </c>
      <c r="G55" s="449" t="n">
        <v>2514.0</v>
      </c>
      <c r="H55" s="450" t="n">
        <v>2516.0</v>
      </c>
      <c r="I55" s="450" t="n">
        <v>2516.0</v>
      </c>
      <c r="J55" s="451" t="n">
        <f t="shared" si="7"/>
        <v>1.0066181206202243</v>
      </c>
      <c r="K55" s="449" t="n">
        <v>0.0</v>
      </c>
      <c r="L55" s="452" t="n">
        <f t="shared" si="8"/>
        <v>0.0</v>
      </c>
      <c r="M55" s="449" t="n">
        <v>0.0</v>
      </c>
      <c r="N55" s="452" t="n">
        <f t="shared" si="2"/>
        <v>0.0</v>
      </c>
      <c r="O55" s="449" t="n">
        <v>0.0</v>
      </c>
      <c r="P55" s="452" t="n">
        <f t="shared" si="3"/>
        <v>0.0</v>
      </c>
      <c r="Q55" s="449" t="n">
        <v>0.0</v>
      </c>
      <c r="R55" s="452" t="n">
        <f t="shared" si="4"/>
        <v>0.0</v>
      </c>
    </row>
    <row r="56" spans="1:18" ht="14.25" thickBot="1">
      <c r="A56" s="19"/>
      <c r="B56" s="1057"/>
      <c r="C56" s="430" t="s">
        <v>18</v>
      </c>
      <c r="D56" s="479" t="n">
        <v>1.3333333333333333</v>
      </c>
      <c r="E56" s="468" t="n">
        <v>0.16666666666666666</v>
      </c>
      <c r="F56" s="480" t="n">
        <v>1.0</v>
      </c>
      <c r="G56" s="467" t="n">
        <v>1.0</v>
      </c>
      <c r="H56" s="468" t="n">
        <v>1.0</v>
      </c>
      <c r="I56" s="468" t="n">
        <v>1.0</v>
      </c>
      <c r="J56" s="469" t="n">
        <f t="shared" si="7"/>
        <v>1.0</v>
      </c>
      <c r="K56" s="467" t="n">
        <v>0.0</v>
      </c>
      <c r="L56" s="470" t="n">
        <f t="shared" si="8"/>
        <v>0.0</v>
      </c>
      <c r="M56" s="467" t="n">
        <v>0.0</v>
      </c>
      <c r="N56" s="470" t="n">
        <f t="shared" si="2"/>
        <v>0.0</v>
      </c>
      <c r="O56" s="467" t="n">
        <v>0.0</v>
      </c>
      <c r="P56" s="470" t="n">
        <f t="shared" si="3"/>
        <v>0.0</v>
      </c>
      <c r="Q56" s="467" t="n">
        <v>0.0</v>
      </c>
      <c r="R56" s="470" t="n">
        <f t="shared" si="4"/>
        <v>0.0</v>
      </c>
    </row>
    <row r="57" spans="1:18">
      <c r="A57" s="20" t="s">
        <v>114</v>
      </c>
      <c r="B57" s="481"/>
      <c r="C57" s="482" t="s">
        <v>17</v>
      </c>
      <c r="D57" s="483" t="n">
        <v>5319.021</v>
      </c>
      <c r="E57" s="484" t="n">
        <v>6677.534</v>
      </c>
      <c r="F57" s="485" t="n">
        <v>7014.18</v>
      </c>
      <c r="G57" s="486" t="n">
        <v>7641.0</v>
      </c>
      <c r="H57" s="487" t="n">
        <v>7646.0</v>
      </c>
      <c r="I57" s="487" t="n">
        <v>7593.0</v>
      </c>
      <c r="J57" s="488" t="n">
        <f t="shared" si="7"/>
        <v>1.0873212074207772</v>
      </c>
      <c r="K57" s="486" t="n">
        <v>7433.0</v>
      </c>
      <c r="L57" s="489" t="n">
        <f t="shared" si="8"/>
        <v>1.0597104722148563</v>
      </c>
      <c r="M57" s="486" t="n">
        <v>6639.0</v>
      </c>
      <c r="N57" s="489" t="n">
        <f t="shared" si="2"/>
        <v>0.9465112101485846</v>
      </c>
      <c r="O57" s="486" t="n">
        <v>5843.0</v>
      </c>
      <c r="P57" s="489" t="n">
        <f t="shared" si="3"/>
        <v>0.8330268114020455</v>
      </c>
      <c r="Q57" s="486" t="n">
        <v>5418.0</v>
      </c>
      <c r="R57" s="489" t="n">
        <f t="shared" si="4"/>
        <v>0.7724352668451622</v>
      </c>
    </row>
    <row r="58" spans="1:18" ht="14.25" thickBot="1">
      <c r="A58" s="21"/>
      <c r="B58" s="490"/>
      <c r="C58" s="491" t="s">
        <v>18</v>
      </c>
      <c r="D58" s="492" t="n">
        <v>98.83333333333333</v>
      </c>
      <c r="E58" s="493" t="n">
        <v>125.75</v>
      </c>
      <c r="F58" s="494" t="n">
        <v>133.0</v>
      </c>
      <c r="G58" s="495" t="n">
        <v>144.0</v>
      </c>
      <c r="H58" s="493" t="n">
        <v>144.0</v>
      </c>
      <c r="I58" s="493" t="n">
        <v>143.0</v>
      </c>
      <c r="J58" s="496" t="n">
        <f t="shared" si="7"/>
        <v>1.0802005012531328</v>
      </c>
      <c r="K58" s="495" t="n">
        <v>140.0</v>
      </c>
      <c r="L58" s="497" t="n">
        <f t="shared" si="8"/>
        <v>1.0526315789473684</v>
      </c>
      <c r="M58" s="495" t="n">
        <v>125.0</v>
      </c>
      <c r="N58" s="497" t="n">
        <f t="shared" si="2"/>
        <v>0.9398496240601504</v>
      </c>
      <c r="O58" s="495" t="n">
        <v>110.0</v>
      </c>
      <c r="P58" s="497" t="n">
        <f t="shared" si="3"/>
        <v>0.8270676691729323</v>
      </c>
      <c r="Q58" s="495" t="n">
        <v>102.0</v>
      </c>
      <c r="R58" s="497" t="n">
        <f t="shared" si="4"/>
        <v>0.7669172932330827</v>
      </c>
    </row>
    <row r="59" spans="1:18" ht="14.25" thickBot="1">
      <c r="A59" s="498" t="s">
        <v>37</v>
      </c>
      <c r="B59" s="416"/>
      <c r="C59" s="499" t="s">
        <v>17</v>
      </c>
      <c r="D59" s="500" t="n">
        <f>IF(ISERROR(SUM(D12,D14,D17,D20,D23,D25,D27,D29,D32,D35,D38,D41,D43,D45,D47,D50,D53,D55,D57)),0,(SUM(D12,D14,D17,D20,D23,D25,D27,D29,D32,D35,D38,D41,D43,D45,D47,D50,D53,D55,D57)))</f>
        <v>37096.897999999994</v>
      </c>
      <c r="E59" s="501" t="n">
        <f t="shared" ref="E59:I59" si="9">IF(ISERROR(SUM(E12,E14,E17,E20,E23,E25,E27,E29,E32,E35,E38,E41,E43,E45,E47,E50,E53,E55,E57)),0,(SUM(E12,E14,E17,E20,E23,E25,E27,E29,E32,E35,E38,E41,E43,E45,E47,E50,E53,E55,E57)))</f>
        <v>41550.715</v>
      </c>
      <c r="F59" s="502" t="n">
        <f t="shared" si="9"/>
        <v>52112.600399999996</v>
      </c>
      <c r="G59" s="503" t="n">
        <f t="shared" si="9"/>
        <v>52896.0</v>
      </c>
      <c r="H59" s="501" t="n">
        <f t="shared" si="9"/>
        <v>54004.0</v>
      </c>
      <c r="I59" s="501" t="n">
        <f t="shared" si="9"/>
        <v>53702.0</v>
      </c>
      <c r="J59" s="504" t="n">
        <f t="shared" si="7"/>
        <v>1.0272755454360325</v>
      </c>
      <c r="K59" s="503" t="n">
        <f>IF(ISERROR(SUM(K12,K14,K17,K20,K23,K25,K27,K29,K32,K35,K38,K41,K43,K45,K47,K50,K53,K55,K57)),0,(SUM(K12,K14,K17,K20,K23,K25,K27,K29,K32,K35,K38,K41,K43,K45,K47,K50,K53,K55,K57)))</f>
        <v>48397.0</v>
      </c>
      <c r="L59" s="505" t="n">
        <f t="shared" si="8"/>
        <v>0.9287005374615696</v>
      </c>
      <c r="M59" s="503" t="n">
        <f>IF(ISERROR(SUM(M12,M14,M17,M20,M23,M25,M27,M29,M32,M35,M38,M41,M43,M45,M47,M50,M53,M55,M57)),0,(SUM(M12,M14,M17,M20,M23,M25,M27,M29,M32,M35,M38,M41,M43,M45,M47,M50,M53,M55,M57)))</f>
        <v>45039.0</v>
      </c>
      <c r="N59" s="505" t="n">
        <f t="shared" si="2"/>
        <v>0.8642631466151132</v>
      </c>
      <c r="O59" s="503" t="n">
        <f>IF(ISERROR(SUM(O12,O14,O17,O20,O23,O25,O27,O29,O32,O35,O38,O41,O43,O45,O47,O50,O53,O55,O57)),0,(SUM(O12,O14,O17,O20,O23,O25,O27,O29,O32,O35,O38,O41,O43,O45,O47,O50,O53,O55,O57)))</f>
        <v>41515.0</v>
      </c>
      <c r="P59" s="505" t="n">
        <f t="shared" si="3"/>
        <v>0.7966403457387247</v>
      </c>
      <c r="Q59" s="503" t="n">
        <f>IF(ISERROR(SUM(Q12,Q14,Q17,Q20,Q23,Q25,Q27,Q29,Q32,Q35,Q38,Q41,Q43,Q45,Q47,Q50,Q53,Q55,Q57)),0,(SUM(Q12,Q14,Q17,Q20,Q23,Q25,Q27,Q29,Q32,Q35,Q38,Q41,Q43,Q45,Q47,Q50,Q53,Q55,Q57)))</f>
        <v>38701.0</v>
      </c>
      <c r="R59" s="505" t="n">
        <f t="shared" si="4"/>
        <v>0.7426418889662625</v>
      </c>
    </row>
    <row r="60" spans="1:18" ht="50.1" customHeight="1">
      <c r="A60" s="805" t="s">
        <v>112</v>
      </c>
      <c r="B60" s="506"/>
      <c r="C60" s="507"/>
      <c r="D60" s="508"/>
      <c r="E60" s="508"/>
      <c r="F60" s="508"/>
      <c r="G60" s="804" t="s">
        <v>280</v>
      </c>
      <c r="H60" s="509"/>
      <c r="I60" s="509"/>
      <c r="J60" s="509"/>
      <c r="K60" s="704" t="s">
        <v>413</v>
      </c>
      <c r="L60" s="703"/>
      <c r="M60" s="703"/>
    </row>
    <row r="61" spans="1:18" ht="13.5" customHeight="1">
      <c r="A61" s="510"/>
      <c r="B61" s="506"/>
      <c r="C61" s="507"/>
      <c r="D61" s="508"/>
      <c r="E61" s="508"/>
      <c r="F61" s="508"/>
      <c r="G61" s="508"/>
      <c r="H61" s="508"/>
      <c r="I61" s="508"/>
      <c r="J61" s="508"/>
      <c r="K61" s="703"/>
      <c r="L61" s="703"/>
      <c r="M61" s="703"/>
    </row>
    <row r="62" spans="1:18">
      <c r="A62" s="22" t="s">
        <v>93</v>
      </c>
      <c r="B62" s="511"/>
      <c r="C62" s="512"/>
    </row>
    <row r="63" spans="1:18" ht="14.25" thickBot="1">
      <c r="A63" s="23"/>
      <c r="B63" s="511"/>
      <c r="C63" s="512"/>
      <c r="L63" s="36"/>
      <c r="R63" s="36" t="s">
        <v>111</v>
      </c>
    </row>
    <row r="64" spans="1:18" ht="23.25" thickBot="1">
      <c r="A64" s="30"/>
      <c r="B64" s="416"/>
      <c r="C64" s="417"/>
      <c r="D64" s="418" t="s">
        <v>68</v>
      </c>
      <c r="E64" s="828" t="s">
        <v>257</v>
      </c>
      <c r="F64" s="419" t="s">
        <v>258</v>
      </c>
      <c r="G64" s="827" t="s">
        <v>259</v>
      </c>
      <c r="H64" s="828" t="s">
        <v>260</v>
      </c>
      <c r="I64" s="829" t="s">
        <v>261</v>
      </c>
      <c r="J64" s="40" t="s">
        <v>107</v>
      </c>
      <c r="K64" s="827" t="s">
        <v>262</v>
      </c>
      <c r="L64" s="41" t="s">
        <v>108</v>
      </c>
      <c r="M64" s="827" t="s">
        <v>320</v>
      </c>
      <c r="N64" s="41" t="s">
        <v>108</v>
      </c>
      <c r="O64" s="827" t="s">
        <v>321</v>
      </c>
      <c r="P64" s="41" t="s">
        <v>108</v>
      </c>
      <c r="Q64" s="827" t="s">
        <v>322</v>
      </c>
      <c r="R64" s="41" t="s">
        <v>108</v>
      </c>
    </row>
    <row r="65" spans="1:18">
      <c r="A65" s="513" t="s">
        <v>39</v>
      </c>
      <c r="B65" s="409"/>
      <c r="C65" s="514"/>
      <c r="D65" s="515"/>
      <c r="E65" s="427"/>
      <c r="F65" s="516"/>
      <c r="G65" s="426"/>
      <c r="H65" s="427"/>
      <c r="I65" s="428"/>
      <c r="J65" s="428"/>
      <c r="K65" s="426"/>
      <c r="L65" s="429"/>
      <c r="M65" s="426"/>
      <c r="N65" s="429"/>
      <c r="O65" s="426"/>
      <c r="P65" s="429"/>
      <c r="Q65" s="426"/>
      <c r="R65" s="429"/>
    </row>
    <row r="66" spans="1:18">
      <c r="A66" s="19"/>
      <c r="B66" s="1049" t="s">
        <v>40</v>
      </c>
      <c r="C66" s="430" t="s">
        <v>17</v>
      </c>
      <c r="D66" s="517" t="n">
        <v>97994.319</v>
      </c>
      <c r="E66" s="450" t="n">
        <v>103568.481</v>
      </c>
      <c r="F66" s="518" t="n">
        <v>130728.684</v>
      </c>
      <c r="G66" s="449" t="n">
        <v>124160.0</v>
      </c>
      <c r="H66" s="450" t="n">
        <v>126372.0</v>
      </c>
      <c r="I66" s="519" t="n">
        <v>128719.0</v>
      </c>
      <c r="J66" s="451" t="n">
        <f t="shared" ref="J66:J99" si="10">IFERROR(SUM(G66:I66)/3/F66,"－")</f>
        <v>0.9670180723306295</v>
      </c>
      <c r="K66" s="449" t="n">
        <v>135148.0</v>
      </c>
      <c r="L66" s="452" t="n">
        <f t="shared" ref="L66:L103" si="11">IFERROR(K66/F66,"－")</f>
        <v>1.0338052511872606</v>
      </c>
      <c r="M66" s="449" t="n">
        <v>116513.0</v>
      </c>
      <c r="N66" s="452" t="n">
        <f>IFERROR(M66/F66,"－")</f>
        <v>0.8912581113415018</v>
      </c>
      <c r="O66" s="449" t="n">
        <v>108436.0</v>
      </c>
      <c r="P66" s="452" t="n">
        <f>IFERROR(O66/F66,"－")</f>
        <v>0.8294736601188458</v>
      </c>
      <c r="Q66" s="449" t="n">
        <v>100417.0</v>
      </c>
      <c r="R66" s="452" t="n">
        <f>IFERROR(Q66/F66,"－")</f>
        <v>0.7681328758729034</v>
      </c>
    </row>
    <row r="67" spans="1:18">
      <c r="A67" s="19"/>
      <c r="B67" s="1050"/>
      <c r="C67" s="430" t="s">
        <v>20</v>
      </c>
      <c r="D67" s="520" t="n">
        <v>2525.9166666666665</v>
      </c>
      <c r="E67" s="521" t="n">
        <v>2773.5833333333335</v>
      </c>
      <c r="F67" s="522" t="n">
        <v>3542.9</v>
      </c>
      <c r="G67" s="523" t="n">
        <v>3346.5</v>
      </c>
      <c r="H67" s="521" t="n">
        <v>3406.0</v>
      </c>
      <c r="I67" s="524" t="n">
        <v>3470.6</v>
      </c>
      <c r="J67" s="443" t="n">
        <f t="shared" si="10"/>
        <v>0.9618391713003472</v>
      </c>
      <c r="K67" s="523" t="n">
        <v>3644.9</v>
      </c>
      <c r="L67" s="444" t="n">
        <f t="shared" si="11"/>
        <v>1.0287899743148268</v>
      </c>
      <c r="M67" s="523" t="n">
        <v>3127.9</v>
      </c>
      <c r="N67" s="444" t="n">
        <f t="shared" ref="N67:N130" si="12">IFERROR(M67/F67,"－")</f>
        <v>0.8828643201896751</v>
      </c>
      <c r="O67" s="523" t="n">
        <v>2906.4</v>
      </c>
      <c r="P67" s="444" t="n">
        <f t="shared" ref="P67:P130" si="13">IFERROR(O67/F67,"－")</f>
        <v>0.8203449151824777</v>
      </c>
      <c r="Q67" s="523" t="n">
        <v>2694.2</v>
      </c>
      <c r="R67" s="444" t="n">
        <f t="shared" ref="R67:R130" si="14">IFERROR(Q67/F67,"－")</f>
        <v>0.7604504784216319</v>
      </c>
    </row>
    <row r="68" spans="1:18">
      <c r="A68" s="19"/>
      <c r="B68" s="832"/>
      <c r="C68" s="430" t="s">
        <v>18</v>
      </c>
      <c r="D68" s="517" t="n">
        <v>136.33333333333334</v>
      </c>
      <c r="E68" s="450" t="n">
        <v>144.08333333333334</v>
      </c>
      <c r="F68" s="518" t="n">
        <v>160.0</v>
      </c>
      <c r="G68" s="449" t="n">
        <v>137.0</v>
      </c>
      <c r="H68" s="450" t="n">
        <v>139.0</v>
      </c>
      <c r="I68" s="519" t="n">
        <v>141.0</v>
      </c>
      <c r="J68" s="443" t="n">
        <f t="shared" si="10"/>
        <v>0.86875</v>
      </c>
      <c r="K68" s="449" t="n">
        <v>150.0</v>
      </c>
      <c r="L68" s="444" t="n">
        <f t="shared" si="11"/>
        <v>0.9375</v>
      </c>
      <c r="M68" s="449" t="n">
        <v>132.0</v>
      </c>
      <c r="N68" s="444" t="n">
        <f t="shared" si="12"/>
        <v>0.825</v>
      </c>
      <c r="O68" s="449" t="n">
        <v>121.0</v>
      </c>
      <c r="P68" s="444" t="n">
        <f t="shared" si="13"/>
        <v>0.75625</v>
      </c>
      <c r="Q68" s="449" t="n">
        <v>112.0</v>
      </c>
      <c r="R68" s="444" t="n">
        <f t="shared" si="14"/>
        <v>0.7</v>
      </c>
    </row>
    <row r="69" spans="1:18">
      <c r="A69" s="19"/>
      <c r="B69" s="1049" t="s">
        <v>41</v>
      </c>
      <c r="C69" s="430" t="s">
        <v>17</v>
      </c>
      <c r="D69" s="517" t="n">
        <v>11373.210000000001</v>
      </c>
      <c r="E69" s="450" t="n">
        <v>8323.09</v>
      </c>
      <c r="F69" s="518" t="n">
        <v>7506.264</v>
      </c>
      <c r="G69" s="449" t="n">
        <v>7437.0</v>
      </c>
      <c r="H69" s="450" t="n">
        <v>7441.0</v>
      </c>
      <c r="I69" s="519" t="n">
        <v>8032.0</v>
      </c>
      <c r="J69" s="451" t="n">
        <f t="shared" si="10"/>
        <v>1.0173725126996156</v>
      </c>
      <c r="K69" s="449" t="n">
        <v>6261.0</v>
      </c>
      <c r="L69" s="452" t="n">
        <f t="shared" si="11"/>
        <v>0.8341033568763369</v>
      </c>
      <c r="M69" s="449" t="n">
        <v>6261.0</v>
      </c>
      <c r="N69" s="452" t="n">
        <f t="shared" si="12"/>
        <v>0.8341033568763369</v>
      </c>
      <c r="O69" s="449" t="n">
        <v>6261.0</v>
      </c>
      <c r="P69" s="452" t="n">
        <f t="shared" si="13"/>
        <v>0.8341033568763369</v>
      </c>
      <c r="Q69" s="449" t="n">
        <v>5670.0</v>
      </c>
      <c r="R69" s="452" t="n">
        <f t="shared" si="14"/>
        <v>0.7553691157145552</v>
      </c>
    </row>
    <row r="70" spans="1:18">
      <c r="A70" s="19"/>
      <c r="B70" s="1050"/>
      <c r="C70" s="430" t="s">
        <v>20</v>
      </c>
      <c r="D70" s="517" t="n">
        <v>68.83333333333333</v>
      </c>
      <c r="E70" s="450" t="n">
        <v>49.833333333333336</v>
      </c>
      <c r="F70" s="518" t="n">
        <v>44.8</v>
      </c>
      <c r="G70" s="523" t="n">
        <v>44.1</v>
      </c>
      <c r="H70" s="521" t="n">
        <v>44.1</v>
      </c>
      <c r="I70" s="524" t="n">
        <v>47.6</v>
      </c>
      <c r="J70" s="443" t="n">
        <f t="shared" si="10"/>
        <v>1.010416666666667</v>
      </c>
      <c r="K70" s="523" t="n">
        <v>37.1</v>
      </c>
      <c r="L70" s="444" t="n">
        <f t="shared" si="11"/>
        <v>0.8281250000000001</v>
      </c>
      <c r="M70" s="523" t="n">
        <v>37.1</v>
      </c>
      <c r="N70" s="444" t="n">
        <f t="shared" si="12"/>
        <v>0.8281250000000001</v>
      </c>
      <c r="O70" s="523" t="n">
        <v>37.1</v>
      </c>
      <c r="P70" s="444" t="n">
        <f t="shared" si="13"/>
        <v>0.8281250000000001</v>
      </c>
      <c r="Q70" s="523" t="n">
        <v>33.6</v>
      </c>
      <c r="R70" s="444" t="n">
        <f t="shared" si="14"/>
        <v>0.7500000000000001</v>
      </c>
    </row>
    <row r="71" spans="1:18">
      <c r="A71" s="19"/>
      <c r="B71" s="832"/>
      <c r="C71" s="430" t="s">
        <v>18</v>
      </c>
      <c r="D71" s="517" t="n">
        <v>19.416666666666668</v>
      </c>
      <c r="E71" s="450" t="n">
        <v>14.166666666666666</v>
      </c>
      <c r="F71" s="518" t="n">
        <v>12.0</v>
      </c>
      <c r="G71" s="449" t="n">
        <v>12.0</v>
      </c>
      <c r="H71" s="450" t="n">
        <v>12.0</v>
      </c>
      <c r="I71" s="519" t="n">
        <v>13.0</v>
      </c>
      <c r="J71" s="443" t="n">
        <f t="shared" si="10"/>
        <v>1.027777777777778</v>
      </c>
      <c r="K71" s="449" t="n">
        <v>10.0</v>
      </c>
      <c r="L71" s="444" t="n">
        <f t="shared" si="11"/>
        <v>0.8333333333333334</v>
      </c>
      <c r="M71" s="449" t="n">
        <v>10.0</v>
      </c>
      <c r="N71" s="444" t="n">
        <f t="shared" si="12"/>
        <v>0.8333333333333334</v>
      </c>
      <c r="O71" s="449" t="n">
        <v>10.0</v>
      </c>
      <c r="P71" s="444" t="n">
        <f t="shared" si="13"/>
        <v>0.8333333333333334</v>
      </c>
      <c r="Q71" s="449" t="n">
        <v>9.0</v>
      </c>
      <c r="R71" s="444" t="n">
        <f t="shared" si="14"/>
        <v>0.75</v>
      </c>
    </row>
    <row r="72" spans="1:18">
      <c r="A72" s="19"/>
      <c r="B72" s="1049" t="s">
        <v>42</v>
      </c>
      <c r="C72" s="430" t="s">
        <v>17</v>
      </c>
      <c r="D72" s="517" t="n">
        <v>24722.545</v>
      </c>
      <c r="E72" s="450" t="n">
        <v>22832.717</v>
      </c>
      <c r="F72" s="518" t="n">
        <v>34443.084</v>
      </c>
      <c r="G72" s="449" t="n">
        <v>30539.0</v>
      </c>
      <c r="H72" s="450" t="n">
        <v>31466.0</v>
      </c>
      <c r="I72" s="519" t="n">
        <v>32780.0</v>
      </c>
      <c r="J72" s="451" t="n">
        <f t="shared" si="10"/>
        <v>0.917310424351083</v>
      </c>
      <c r="K72" s="449" t="n">
        <v>34382.0</v>
      </c>
      <c r="L72" s="452" t="n">
        <f t="shared" si="11"/>
        <v>0.9982265235017862</v>
      </c>
      <c r="M72" s="449" t="n">
        <v>31963.0</v>
      </c>
      <c r="N72" s="452" t="n">
        <f t="shared" si="12"/>
        <v>0.9279947173139316</v>
      </c>
      <c r="O72" s="449" t="n">
        <v>28064.0</v>
      </c>
      <c r="P72" s="452" t="n">
        <f t="shared" si="13"/>
        <v>0.81479347203636</v>
      </c>
      <c r="Q72" s="449" t="n">
        <v>25683.0</v>
      </c>
      <c r="R72" s="452" t="n">
        <f t="shared" si="14"/>
        <v>0.7456649352305386</v>
      </c>
    </row>
    <row r="73" spans="1:18">
      <c r="A73" s="19"/>
      <c r="B73" s="1050"/>
      <c r="C73" s="430" t="s">
        <v>20</v>
      </c>
      <c r="D73" s="520" t="n">
        <v>320.25</v>
      </c>
      <c r="E73" s="521" t="n">
        <v>291.0833333333333</v>
      </c>
      <c r="F73" s="522" t="n">
        <v>455.8</v>
      </c>
      <c r="G73" s="523" t="n">
        <v>404.9</v>
      </c>
      <c r="H73" s="521" t="n">
        <v>417.9</v>
      </c>
      <c r="I73" s="524" t="n">
        <v>433.5</v>
      </c>
      <c r="J73" s="443" t="n">
        <f t="shared" si="10"/>
        <v>0.9187509141436302</v>
      </c>
      <c r="K73" s="523" t="n">
        <v>453.1</v>
      </c>
      <c r="L73" s="444" t="n">
        <f t="shared" si="11"/>
        <v>0.9940763492759983</v>
      </c>
      <c r="M73" s="523" t="n">
        <v>422.0</v>
      </c>
      <c r="N73" s="444" t="n">
        <f t="shared" si="12"/>
        <v>0.9258446687143483</v>
      </c>
      <c r="O73" s="523" t="n">
        <v>366.5</v>
      </c>
      <c r="P73" s="444" t="n">
        <f t="shared" si="13"/>
        <v>0.8040807371654234</v>
      </c>
      <c r="Q73" s="523" t="n">
        <v>334.5</v>
      </c>
      <c r="R73" s="444" t="n">
        <f t="shared" si="14"/>
        <v>0.7338745063624397</v>
      </c>
    </row>
    <row r="74" spans="1:18">
      <c r="A74" s="19"/>
      <c r="B74" s="832"/>
      <c r="C74" s="430" t="s">
        <v>18</v>
      </c>
      <c r="D74" s="517" t="n">
        <v>48.916666666666664</v>
      </c>
      <c r="E74" s="450" t="n">
        <v>52.666666666666664</v>
      </c>
      <c r="F74" s="518" t="n">
        <v>69.0</v>
      </c>
      <c r="G74" s="449" t="n">
        <v>60.0</v>
      </c>
      <c r="H74" s="450" t="n">
        <v>62.0</v>
      </c>
      <c r="I74" s="519" t="n">
        <v>64.0</v>
      </c>
      <c r="J74" s="443" t="n">
        <f t="shared" si="10"/>
        <v>0.8985507246376812</v>
      </c>
      <c r="K74" s="449" t="n">
        <v>66.0</v>
      </c>
      <c r="L74" s="444" t="n">
        <f t="shared" si="11"/>
        <v>0.9565217391304348</v>
      </c>
      <c r="M74" s="449" t="n">
        <v>62.0</v>
      </c>
      <c r="N74" s="444" t="n">
        <f t="shared" si="12"/>
        <v>0.8985507246376812</v>
      </c>
      <c r="O74" s="449" t="n">
        <v>54.0</v>
      </c>
      <c r="P74" s="444" t="n">
        <f t="shared" si="13"/>
        <v>0.782608695652174</v>
      </c>
      <c r="Q74" s="449" t="n">
        <v>49.0</v>
      </c>
      <c r="R74" s="444" t="n">
        <f t="shared" si="14"/>
        <v>0.7101449275362319</v>
      </c>
    </row>
    <row r="75" spans="1:18">
      <c r="A75" s="19"/>
      <c r="B75" s="1049" t="s">
        <v>43</v>
      </c>
      <c r="C75" s="430" t="s">
        <v>17</v>
      </c>
      <c r="D75" s="517" t="n">
        <v>848.362</v>
      </c>
      <c r="E75" s="450" t="n">
        <v>279.884</v>
      </c>
      <c r="F75" s="518" t="n">
        <v>230.826</v>
      </c>
      <c r="G75" s="449" t="n">
        <v>514.0</v>
      </c>
      <c r="H75" s="450" t="n">
        <v>515.0</v>
      </c>
      <c r="I75" s="519" t="n">
        <v>515.0</v>
      </c>
      <c r="J75" s="451" t="n">
        <f t="shared" si="10"/>
        <v>2.2296737224864907</v>
      </c>
      <c r="K75" s="449" t="n">
        <v>515.0</v>
      </c>
      <c r="L75" s="452" t="n">
        <f t="shared" si="11"/>
        <v>2.2311178116849923</v>
      </c>
      <c r="M75" s="449" t="n">
        <v>515.0</v>
      </c>
      <c r="N75" s="452" t="n">
        <f t="shared" si="12"/>
        <v>2.2311178116849923</v>
      </c>
      <c r="O75" s="449" t="n">
        <v>515.0</v>
      </c>
      <c r="P75" s="452" t="n">
        <f t="shared" si="13"/>
        <v>2.2311178116849923</v>
      </c>
      <c r="Q75" s="449" t="n">
        <v>515.0</v>
      </c>
      <c r="R75" s="452" t="n">
        <f t="shared" si="14"/>
        <v>2.2311178116849923</v>
      </c>
    </row>
    <row r="76" spans="1:18">
      <c r="A76" s="19"/>
      <c r="B76" s="1050"/>
      <c r="C76" s="430" t="s">
        <v>20</v>
      </c>
      <c r="D76" s="520" t="n">
        <v>24.833333333333332</v>
      </c>
      <c r="E76" s="521" t="n">
        <v>8.833333333333334</v>
      </c>
      <c r="F76" s="522" t="n">
        <v>7.3</v>
      </c>
      <c r="G76" s="523" t="n">
        <v>13.7</v>
      </c>
      <c r="H76" s="521" t="n">
        <v>13.7</v>
      </c>
      <c r="I76" s="524" t="n">
        <v>13.7</v>
      </c>
      <c r="J76" s="443" t="n">
        <f t="shared" si="10"/>
        <v>1.876712328767123</v>
      </c>
      <c r="K76" s="523" t="n">
        <v>13.7</v>
      </c>
      <c r="L76" s="444" t="n">
        <f t="shared" si="11"/>
        <v>1.8767123287671232</v>
      </c>
      <c r="M76" s="523" t="n">
        <v>13.7</v>
      </c>
      <c r="N76" s="444" t="n">
        <f t="shared" si="12"/>
        <v>1.8767123287671232</v>
      </c>
      <c r="O76" s="523" t="n">
        <v>13.7</v>
      </c>
      <c r="P76" s="444" t="n">
        <f t="shared" si="13"/>
        <v>1.8767123287671232</v>
      </c>
      <c r="Q76" s="523" t="n">
        <v>13.7</v>
      </c>
      <c r="R76" s="444" t="n">
        <f t="shared" si="14"/>
        <v>1.8767123287671232</v>
      </c>
    </row>
    <row r="77" spans="1:18">
      <c r="A77" s="19"/>
      <c r="B77" s="832"/>
      <c r="C77" s="430" t="s">
        <v>18</v>
      </c>
      <c r="D77" s="517" t="n">
        <v>3.25</v>
      </c>
      <c r="E77" s="450" t="n">
        <v>1.4166666666666667</v>
      </c>
      <c r="F77" s="518" t="n">
        <v>1.0</v>
      </c>
      <c r="G77" s="449" t="n">
        <v>2.0</v>
      </c>
      <c r="H77" s="450" t="n">
        <v>2.0</v>
      </c>
      <c r="I77" s="519" t="n">
        <v>2.0</v>
      </c>
      <c r="J77" s="443" t="n">
        <f t="shared" si="10"/>
        <v>2.0</v>
      </c>
      <c r="K77" s="449" t="n">
        <v>2.0</v>
      </c>
      <c r="L77" s="444" t="n">
        <f t="shared" si="11"/>
        <v>2.0</v>
      </c>
      <c r="M77" s="449" t="n">
        <v>2.0</v>
      </c>
      <c r="N77" s="444" t="n">
        <f t="shared" si="12"/>
        <v>2.0</v>
      </c>
      <c r="O77" s="449" t="n">
        <v>2.0</v>
      </c>
      <c r="P77" s="444" t="n">
        <f t="shared" si="13"/>
        <v>2.0</v>
      </c>
      <c r="Q77" s="449" t="n">
        <v>2.0</v>
      </c>
      <c r="R77" s="444" t="n">
        <f t="shared" si="14"/>
        <v>2.0</v>
      </c>
    </row>
    <row r="78" spans="1:18">
      <c r="A78" s="19"/>
      <c r="B78" s="1049" t="s">
        <v>44</v>
      </c>
      <c r="C78" s="430" t="s">
        <v>17</v>
      </c>
      <c r="D78" s="517" t="n">
        <v>3831.526</v>
      </c>
      <c r="E78" s="450" t="n">
        <v>4104.969</v>
      </c>
      <c r="F78" s="518" t="n">
        <v>4544.148</v>
      </c>
      <c r="G78" s="449" t="n">
        <v>5399.0</v>
      </c>
      <c r="H78" s="450" t="n">
        <v>5402.0</v>
      </c>
      <c r="I78" s="519" t="n">
        <v>5605.0</v>
      </c>
      <c r="J78" s="451" t="n">
        <f t="shared" si="10"/>
        <v>1.2034525870782964</v>
      </c>
      <c r="K78" s="449" t="n">
        <v>4890.0</v>
      </c>
      <c r="L78" s="452" t="n">
        <f t="shared" si="11"/>
        <v>1.0761093168620388</v>
      </c>
      <c r="M78" s="449" t="n">
        <v>4797.0</v>
      </c>
      <c r="N78" s="452" t="n">
        <f t="shared" si="12"/>
        <v>1.0556434341487118</v>
      </c>
      <c r="O78" s="449" t="n">
        <v>4259.0</v>
      </c>
      <c r="P78" s="452" t="n">
        <f t="shared" si="13"/>
        <v>0.9372494029683892</v>
      </c>
      <c r="Q78" s="449" t="n">
        <v>3882.0</v>
      </c>
      <c r="R78" s="452" t="n">
        <f t="shared" si="14"/>
        <v>0.8542855558401706</v>
      </c>
    </row>
    <row r="79" spans="1:18">
      <c r="A79" s="19"/>
      <c r="B79" s="1051"/>
      <c r="C79" s="430" t="s">
        <v>18</v>
      </c>
      <c r="D79" s="517" t="n">
        <v>46.75</v>
      </c>
      <c r="E79" s="450" t="n">
        <v>47.833333333333336</v>
      </c>
      <c r="F79" s="518" t="n">
        <v>51.0</v>
      </c>
      <c r="G79" s="449" t="n">
        <v>59.0</v>
      </c>
      <c r="H79" s="450" t="n">
        <v>59.0</v>
      </c>
      <c r="I79" s="519" t="n">
        <v>61.0</v>
      </c>
      <c r="J79" s="443" t="n">
        <f t="shared" si="10"/>
        <v>1.1699346405228759</v>
      </c>
      <c r="K79" s="449" t="n">
        <v>54.0</v>
      </c>
      <c r="L79" s="444" t="n">
        <f t="shared" si="11"/>
        <v>1.0588235294117647</v>
      </c>
      <c r="M79" s="449" t="n">
        <v>53.0</v>
      </c>
      <c r="N79" s="444" t="n">
        <f t="shared" si="12"/>
        <v>1.0392156862745099</v>
      </c>
      <c r="O79" s="449" t="n">
        <v>47.0</v>
      </c>
      <c r="P79" s="444" t="n">
        <f t="shared" si="13"/>
        <v>0.9215686274509803</v>
      </c>
      <c r="Q79" s="449" t="n">
        <v>43.0</v>
      </c>
      <c r="R79" s="444" t="n">
        <f t="shared" si="14"/>
        <v>0.8431372549019608</v>
      </c>
    </row>
    <row r="80" spans="1:18">
      <c r="A80" s="19"/>
      <c r="B80" s="1049" t="s">
        <v>45</v>
      </c>
      <c r="C80" s="430" t="s">
        <v>17</v>
      </c>
      <c r="D80" s="517" t="n">
        <v>258041.87</v>
      </c>
      <c r="E80" s="450" t="n">
        <v>239888.217</v>
      </c>
      <c r="F80" s="518" t="n">
        <v>254448.3336</v>
      </c>
      <c r="G80" s="449" t="n">
        <v>261555.0</v>
      </c>
      <c r="H80" s="450" t="n">
        <v>261249.0</v>
      </c>
      <c r="I80" s="519" t="n">
        <v>259883.0</v>
      </c>
      <c r="J80" s="451" t="n">
        <f t="shared" si="10"/>
        <v>1.0253384762849422</v>
      </c>
      <c r="K80" s="449" t="n">
        <v>266747.0</v>
      </c>
      <c r="L80" s="452" t="n">
        <f t="shared" si="11"/>
        <v>1.048334631341441</v>
      </c>
      <c r="M80" s="449" t="n">
        <v>233673.0</v>
      </c>
      <c r="N80" s="452" t="n">
        <f t="shared" si="12"/>
        <v>0.9183514652815159</v>
      </c>
      <c r="O80" s="449" t="n">
        <v>220504.0</v>
      </c>
      <c r="P80" s="452" t="n">
        <f t="shared" si="13"/>
        <v>0.8665963611561258</v>
      </c>
      <c r="Q80" s="449" t="n">
        <v>207113.0</v>
      </c>
      <c r="R80" s="452" t="n">
        <f t="shared" si="14"/>
        <v>0.8139687812834628</v>
      </c>
    </row>
    <row r="81" spans="1:18">
      <c r="A81" s="19"/>
      <c r="B81" s="1050"/>
      <c r="C81" s="430" t="s">
        <v>20</v>
      </c>
      <c r="D81" s="517" t="n">
        <v>2561.3333333333335</v>
      </c>
      <c r="E81" s="450" t="n">
        <v>2397.3333333333335</v>
      </c>
      <c r="F81" s="518" t="n">
        <v>2464.0</v>
      </c>
      <c r="G81" s="523" t="n">
        <v>2518.0</v>
      </c>
      <c r="H81" s="521" t="n">
        <v>2511.6</v>
      </c>
      <c r="I81" s="524" t="n">
        <v>2488.5</v>
      </c>
      <c r="J81" s="443" t="n">
        <f t="shared" si="10"/>
        <v>1.0170589826839826</v>
      </c>
      <c r="K81" s="523" t="n">
        <v>2528.9</v>
      </c>
      <c r="L81" s="444" t="n">
        <f t="shared" si="11"/>
        <v>1.0263392857142857</v>
      </c>
      <c r="M81" s="523" t="n">
        <v>2247.3</v>
      </c>
      <c r="N81" s="444" t="n">
        <f t="shared" si="12"/>
        <v>0.9120535714285715</v>
      </c>
      <c r="O81" s="523" t="n">
        <v>2112.2</v>
      </c>
      <c r="P81" s="444" t="n">
        <f t="shared" si="13"/>
        <v>0.8572240259740259</v>
      </c>
      <c r="Q81" s="523" t="n">
        <v>1985.7</v>
      </c>
      <c r="R81" s="444" t="n">
        <f t="shared" si="14"/>
        <v>0.8058847402597403</v>
      </c>
    </row>
    <row r="82" spans="1:18">
      <c r="A82" s="19"/>
      <c r="B82" s="832"/>
      <c r="C82" s="430" t="s">
        <v>18</v>
      </c>
      <c r="D82" s="517" t="n">
        <v>318.75</v>
      </c>
      <c r="E82" s="450" t="n">
        <v>308.3333333333333</v>
      </c>
      <c r="F82" s="518" t="n">
        <v>314.0</v>
      </c>
      <c r="G82" s="449" t="n">
        <v>307.0</v>
      </c>
      <c r="H82" s="450" t="n">
        <v>306.0</v>
      </c>
      <c r="I82" s="519" t="n">
        <v>305.0</v>
      </c>
      <c r="J82" s="443" t="n">
        <f t="shared" si="10"/>
        <v>0.9745222929936306</v>
      </c>
      <c r="K82" s="449" t="n">
        <v>312.0</v>
      </c>
      <c r="L82" s="444" t="n">
        <f t="shared" si="11"/>
        <v>0.9936305732484076</v>
      </c>
      <c r="M82" s="449" t="n">
        <v>272.0</v>
      </c>
      <c r="N82" s="444" t="n">
        <f t="shared" si="12"/>
        <v>0.8662420382165605</v>
      </c>
      <c r="O82" s="449" t="n">
        <v>256.0</v>
      </c>
      <c r="P82" s="444" t="n">
        <f t="shared" si="13"/>
        <v>0.8152866242038217</v>
      </c>
      <c r="Q82" s="449" t="n">
        <v>241.0</v>
      </c>
      <c r="R82" s="444" t="n">
        <f t="shared" si="14"/>
        <v>0.767515923566879</v>
      </c>
    </row>
    <row r="83" spans="1:18">
      <c r="A83" s="19"/>
      <c r="B83" s="1049" t="s">
        <v>46</v>
      </c>
      <c r="C83" s="430" t="s">
        <v>17</v>
      </c>
      <c r="D83" s="517" t="n">
        <v>70868.086</v>
      </c>
      <c r="E83" s="450" t="n">
        <v>67974.807</v>
      </c>
      <c r="F83" s="518" t="n">
        <v>66279.8784</v>
      </c>
      <c r="G83" s="449" t="n">
        <v>72652.0</v>
      </c>
      <c r="H83" s="450" t="n">
        <v>72086.0</v>
      </c>
      <c r="I83" s="519" t="n">
        <v>73832.0</v>
      </c>
      <c r="J83" s="451" t="n">
        <f t="shared" si="10"/>
        <v>1.0992275246338814</v>
      </c>
      <c r="K83" s="449" t="n">
        <v>74068.0</v>
      </c>
      <c r="L83" s="452" t="n">
        <f t="shared" si="11"/>
        <v>1.117503558968509</v>
      </c>
      <c r="M83" s="449" t="n">
        <v>66141.0</v>
      </c>
      <c r="N83" s="452" t="n">
        <f t="shared" si="12"/>
        <v>0.9979046672481523</v>
      </c>
      <c r="O83" s="449" t="n">
        <v>64352.0</v>
      </c>
      <c r="P83" s="452" t="n">
        <f t="shared" si="13"/>
        <v>0.9709130667324821</v>
      </c>
      <c r="Q83" s="449" t="n">
        <v>54335.0</v>
      </c>
      <c r="R83" s="452" t="n">
        <f t="shared" si="14"/>
        <v>0.8197812263940424</v>
      </c>
    </row>
    <row r="84" spans="1:18">
      <c r="A84" s="19"/>
      <c r="B84" s="1050"/>
      <c r="C84" s="430" t="s">
        <v>20</v>
      </c>
      <c r="D84" s="520" t="n">
        <v>696.4166666666666</v>
      </c>
      <c r="E84" s="521" t="n">
        <v>680.1666666666666</v>
      </c>
      <c r="F84" s="522" t="n">
        <v>665.0</v>
      </c>
      <c r="G84" s="523" t="n">
        <v>733.8</v>
      </c>
      <c r="H84" s="521" t="n">
        <v>726.9</v>
      </c>
      <c r="I84" s="524" t="n">
        <v>745.5</v>
      </c>
      <c r="J84" s="443" t="n">
        <f t="shared" si="10"/>
        <v>1.1058646616541352</v>
      </c>
      <c r="K84" s="523" t="n">
        <v>741.9</v>
      </c>
      <c r="L84" s="444" t="n">
        <f t="shared" si="11"/>
        <v>1.1156390977443609</v>
      </c>
      <c r="M84" s="523" t="n">
        <v>672.3</v>
      </c>
      <c r="N84" s="444" t="n">
        <f t="shared" si="12"/>
        <v>1.0109774436090224</v>
      </c>
      <c r="O84" s="523" t="n">
        <v>656.8</v>
      </c>
      <c r="P84" s="444" t="n">
        <f t="shared" si="13"/>
        <v>0.9876691729323308</v>
      </c>
      <c r="Q84" s="523" t="n">
        <v>556.4</v>
      </c>
      <c r="R84" s="444" t="n">
        <f t="shared" si="14"/>
        <v>0.8366917293233083</v>
      </c>
    </row>
    <row r="85" spans="1:18">
      <c r="A85" s="19"/>
      <c r="B85" s="832"/>
      <c r="C85" s="430" t="s">
        <v>18</v>
      </c>
      <c r="D85" s="517" t="n">
        <v>101.75</v>
      </c>
      <c r="E85" s="450" t="n">
        <v>98.16666666666667</v>
      </c>
      <c r="F85" s="518" t="n">
        <v>95.0</v>
      </c>
      <c r="G85" s="449" t="n">
        <v>97.0</v>
      </c>
      <c r="H85" s="450" t="n">
        <v>96.0</v>
      </c>
      <c r="I85" s="519" t="n">
        <v>98.0</v>
      </c>
      <c r="J85" s="443" t="n">
        <f t="shared" si="10"/>
        <v>1.0210526315789474</v>
      </c>
      <c r="K85" s="449" t="n">
        <v>98.0</v>
      </c>
      <c r="L85" s="444" t="n">
        <f t="shared" si="11"/>
        <v>1.0315789473684212</v>
      </c>
      <c r="M85" s="449" t="n">
        <v>88.0</v>
      </c>
      <c r="N85" s="444" t="n">
        <f t="shared" si="12"/>
        <v>0.9263157894736842</v>
      </c>
      <c r="O85" s="449" t="n">
        <v>86.0</v>
      </c>
      <c r="P85" s="444" t="n">
        <f t="shared" si="13"/>
        <v>0.9052631578947369</v>
      </c>
      <c r="Q85" s="449" t="n">
        <v>73.0</v>
      </c>
      <c r="R85" s="444" t="n">
        <f t="shared" si="14"/>
        <v>0.7684210526315789</v>
      </c>
    </row>
    <row r="86" spans="1:18">
      <c r="A86" s="19"/>
      <c r="B86" s="1049" t="s">
        <v>47</v>
      </c>
      <c r="C86" s="430" t="s">
        <v>17</v>
      </c>
      <c r="D86" s="517" t="n">
        <v>133802.367</v>
      </c>
      <c r="E86" s="450" t="n">
        <v>133922.894</v>
      </c>
      <c r="F86" s="518" t="n">
        <v>134918.3484</v>
      </c>
      <c r="G86" s="449" t="n">
        <v>133506.0</v>
      </c>
      <c r="H86" s="450" t="n">
        <v>135179.0</v>
      </c>
      <c r="I86" s="519" t="n">
        <v>138139.0</v>
      </c>
      <c r="J86" s="451" t="n">
        <f t="shared" si="10"/>
        <v>1.0051116220156755</v>
      </c>
      <c r="K86" s="449" t="n">
        <v>150372.0</v>
      </c>
      <c r="L86" s="452" t="n">
        <f t="shared" si="11"/>
        <v>1.1145407706458406</v>
      </c>
      <c r="M86" s="449" t="n">
        <v>132024.0</v>
      </c>
      <c r="N86" s="452" t="n">
        <f t="shared" si="12"/>
        <v>0.9785474071219805</v>
      </c>
      <c r="O86" s="449" t="n">
        <v>122066.0</v>
      </c>
      <c r="P86" s="452" t="n">
        <f t="shared" si="13"/>
        <v>0.9047398033520547</v>
      </c>
      <c r="Q86" s="449" t="n">
        <v>111563.0</v>
      </c>
      <c r="R86" s="452" t="n">
        <f t="shared" si="14"/>
        <v>0.826892719359734</v>
      </c>
    </row>
    <row r="87" spans="1:18">
      <c r="A87" s="19"/>
      <c r="B87" s="1050"/>
      <c r="C87" s="430" t="s">
        <v>26</v>
      </c>
      <c r="D87" s="520" t="n">
        <v>1323.1666666666667</v>
      </c>
      <c r="E87" s="521" t="n">
        <v>1310.8333333333333</v>
      </c>
      <c r="F87" s="522" t="n">
        <v>1287.5</v>
      </c>
      <c r="G87" s="523" t="n">
        <v>1261.6</v>
      </c>
      <c r="H87" s="521" t="n">
        <v>1274.2</v>
      </c>
      <c r="I87" s="524" t="n">
        <v>1301.8</v>
      </c>
      <c r="J87" s="443" t="n">
        <f t="shared" si="10"/>
        <v>0.9935533980582525</v>
      </c>
      <c r="K87" s="523" t="n">
        <v>1412.6</v>
      </c>
      <c r="L87" s="444" t="n">
        <f t="shared" si="11"/>
        <v>1.0971650485436892</v>
      </c>
      <c r="M87" s="523" t="n">
        <v>1245.8</v>
      </c>
      <c r="N87" s="444" t="n">
        <f t="shared" si="12"/>
        <v>0.9676116504854368</v>
      </c>
      <c r="O87" s="523" t="n">
        <v>1154.2</v>
      </c>
      <c r="P87" s="444" t="n">
        <f t="shared" si="13"/>
        <v>0.8964660194174757</v>
      </c>
      <c r="Q87" s="523" t="n">
        <v>1050.5</v>
      </c>
      <c r="R87" s="444" t="n">
        <f t="shared" si="14"/>
        <v>0.8159223300970874</v>
      </c>
    </row>
    <row r="88" spans="1:18">
      <c r="A88" s="19"/>
      <c r="B88" s="832"/>
      <c r="C88" s="430" t="s">
        <v>18</v>
      </c>
      <c r="D88" s="517" t="n">
        <v>126.25</v>
      </c>
      <c r="E88" s="450" t="n">
        <v>118.91666666666667</v>
      </c>
      <c r="F88" s="518" t="n">
        <v>118.0</v>
      </c>
      <c r="G88" s="449" t="n">
        <v>113.0</v>
      </c>
      <c r="H88" s="450" t="n">
        <v>114.0</v>
      </c>
      <c r="I88" s="519" t="n">
        <v>116.0</v>
      </c>
      <c r="J88" s="443" t="n">
        <f t="shared" si="10"/>
        <v>0.9689265536723164</v>
      </c>
      <c r="K88" s="449" t="n">
        <v>123.0</v>
      </c>
      <c r="L88" s="444" t="n">
        <f t="shared" si="11"/>
        <v>1.0423728813559323</v>
      </c>
      <c r="M88" s="449" t="n">
        <v>109.0</v>
      </c>
      <c r="N88" s="444" t="n">
        <f t="shared" si="12"/>
        <v>0.923728813559322</v>
      </c>
      <c r="O88" s="449" t="n">
        <v>102.0</v>
      </c>
      <c r="P88" s="444" t="n">
        <f t="shared" si="13"/>
        <v>0.864406779661017</v>
      </c>
      <c r="Q88" s="449" t="n">
        <v>92.0</v>
      </c>
      <c r="R88" s="444" t="n">
        <f t="shared" si="14"/>
        <v>0.7796610169491526</v>
      </c>
    </row>
    <row r="89" spans="1:18">
      <c r="A89" s="19"/>
      <c r="B89" s="1047" t="s">
        <v>48</v>
      </c>
      <c r="C89" s="430" t="s">
        <v>17</v>
      </c>
      <c r="D89" s="517" t="n">
        <v>37108.375</v>
      </c>
      <c r="E89" s="450" t="n">
        <v>33639.339</v>
      </c>
      <c r="F89" s="518" t="n">
        <v>21954.4416</v>
      </c>
      <c r="G89" s="449" t="n">
        <v>25670.0</v>
      </c>
      <c r="H89" s="450" t="n">
        <v>25684.0</v>
      </c>
      <c r="I89" s="519" t="n">
        <v>26062.0</v>
      </c>
      <c r="J89" s="451" t="n">
        <f t="shared" si="10"/>
        <v>1.1754037658299328</v>
      </c>
      <c r="K89" s="449" t="n">
        <v>22196.0</v>
      </c>
      <c r="L89" s="452" t="n">
        <f t="shared" si="11"/>
        <v>1.01100271208902</v>
      </c>
      <c r="M89" s="449" t="n">
        <v>19544.0</v>
      </c>
      <c r="N89" s="452" t="n">
        <f t="shared" si="12"/>
        <v>0.8902071096173998</v>
      </c>
      <c r="O89" s="449" t="n">
        <v>18282.0</v>
      </c>
      <c r="P89" s="452" t="n">
        <f t="shared" si="13"/>
        <v>0.8327244360430466</v>
      </c>
      <c r="Q89" s="449" t="n">
        <v>15926.0</v>
      </c>
      <c r="R89" s="452" t="n">
        <f t="shared" si="14"/>
        <v>0.7254112990056646</v>
      </c>
    </row>
    <row r="90" spans="1:18">
      <c r="A90" s="19"/>
      <c r="B90" s="1048"/>
      <c r="C90" s="430" t="s">
        <v>26</v>
      </c>
      <c r="D90" s="520" t="n">
        <v>320.5833333333333</v>
      </c>
      <c r="E90" s="521" t="n">
        <v>291.1666666666667</v>
      </c>
      <c r="F90" s="522" t="n">
        <v>188.9</v>
      </c>
      <c r="G90" s="523" t="n">
        <v>218.0</v>
      </c>
      <c r="H90" s="521" t="n">
        <v>218.0</v>
      </c>
      <c r="I90" s="524" t="n">
        <v>220.8</v>
      </c>
      <c r="J90" s="443" t="n">
        <f t="shared" si="10"/>
        <v>1.158990647608964</v>
      </c>
      <c r="K90" s="523" t="n">
        <v>188.8</v>
      </c>
      <c r="L90" s="444" t="n">
        <f t="shared" si="11"/>
        <v>0.9994706193753309</v>
      </c>
      <c r="M90" s="523" t="n">
        <v>166.4</v>
      </c>
      <c r="N90" s="444" t="n">
        <f t="shared" si="12"/>
        <v>0.8808893594494441</v>
      </c>
      <c r="O90" s="523" t="n">
        <v>156.2</v>
      </c>
      <c r="P90" s="444" t="n">
        <f t="shared" si="13"/>
        <v>0.8268925357331921</v>
      </c>
      <c r="Q90" s="523" t="n">
        <v>136.0</v>
      </c>
      <c r="R90" s="444" t="n">
        <f t="shared" si="14"/>
        <v>0.7199576495500265</v>
      </c>
    </row>
    <row r="91" spans="1:18">
      <c r="A91" s="19"/>
      <c r="B91" s="832"/>
      <c r="C91" s="430" t="s">
        <v>18</v>
      </c>
      <c r="D91" s="517" t="n">
        <v>41.0</v>
      </c>
      <c r="E91" s="450" t="n">
        <v>34.916666666666664</v>
      </c>
      <c r="F91" s="518" t="n">
        <v>25.0</v>
      </c>
      <c r="G91" s="449" t="n">
        <v>31.0</v>
      </c>
      <c r="H91" s="450" t="n">
        <v>31.0</v>
      </c>
      <c r="I91" s="519" t="n">
        <v>31.0</v>
      </c>
      <c r="J91" s="443" t="n">
        <f t="shared" si="10"/>
        <v>1.24</v>
      </c>
      <c r="K91" s="449" t="n">
        <v>27.0</v>
      </c>
      <c r="L91" s="444" t="n">
        <f t="shared" si="11"/>
        <v>1.08</v>
      </c>
      <c r="M91" s="449" t="n">
        <v>24.0</v>
      </c>
      <c r="N91" s="444" t="n">
        <f t="shared" si="12"/>
        <v>0.96</v>
      </c>
      <c r="O91" s="449" t="n">
        <v>23.0</v>
      </c>
      <c r="P91" s="444" t="n">
        <f t="shared" si="13"/>
        <v>0.92</v>
      </c>
      <c r="Q91" s="449" t="n">
        <v>20.0</v>
      </c>
      <c r="R91" s="444" t="n">
        <f t="shared" si="14"/>
        <v>0.8</v>
      </c>
    </row>
    <row r="92" spans="1:18">
      <c r="A92" s="19"/>
      <c r="B92" s="1047" t="s">
        <v>49</v>
      </c>
      <c r="C92" s="430" t="s">
        <v>17</v>
      </c>
      <c r="D92" s="517" t="n">
        <v>903.038</v>
      </c>
      <c r="E92" s="450" t="n">
        <v>1026.798</v>
      </c>
      <c r="F92" s="518" t="n">
        <v>0.0</v>
      </c>
      <c r="G92" s="449" t="n">
        <v>0.0</v>
      </c>
      <c r="H92" s="450" t="n">
        <v>0.0</v>
      </c>
      <c r="I92" s="519" t="n">
        <v>0.0</v>
      </c>
      <c r="J92" s="451" t="str">
        <f t="shared" si="10"/>
        <v>－</v>
      </c>
      <c r="K92" s="449" t="n">
        <v>0.0</v>
      </c>
      <c r="L92" s="452" t="str">
        <f t="shared" si="11"/>
        <v>－</v>
      </c>
      <c r="M92" s="449" t="n">
        <v>0.0</v>
      </c>
      <c r="N92" s="452" t="str">
        <f t="shared" si="12"/>
        <v>－</v>
      </c>
      <c r="O92" s="449" t="n">
        <v>0.0</v>
      </c>
      <c r="P92" s="452" t="str">
        <f t="shared" si="13"/>
        <v>－</v>
      </c>
      <c r="Q92" s="449" t="n">
        <v>0.0</v>
      </c>
      <c r="R92" s="452" t="str">
        <f t="shared" si="14"/>
        <v>－</v>
      </c>
    </row>
    <row r="93" spans="1:18">
      <c r="A93" s="19"/>
      <c r="B93" s="1048"/>
      <c r="C93" s="430" t="s">
        <v>26</v>
      </c>
      <c r="D93" s="520" t="n">
        <v>6.166666666666667</v>
      </c>
      <c r="E93" s="521" t="n">
        <v>7.583333333333333</v>
      </c>
      <c r="F93" s="522" t="n">
        <v>0.0</v>
      </c>
      <c r="G93" s="523" t="n">
        <v>0.0</v>
      </c>
      <c r="H93" s="521" t="n">
        <v>0.0</v>
      </c>
      <c r="I93" s="524" t="n">
        <v>0.0</v>
      </c>
      <c r="J93" s="443" t="str">
        <f t="shared" si="10"/>
        <v>－</v>
      </c>
      <c r="K93" s="523" t="n">
        <v>0.0</v>
      </c>
      <c r="L93" s="444" t="str">
        <f t="shared" si="11"/>
        <v>－</v>
      </c>
      <c r="M93" s="523" t="n">
        <v>0.0</v>
      </c>
      <c r="N93" s="444" t="str">
        <f t="shared" si="12"/>
        <v>－</v>
      </c>
      <c r="O93" s="523" t="n">
        <v>0.0</v>
      </c>
      <c r="P93" s="444" t="str">
        <f t="shared" si="13"/>
        <v>－</v>
      </c>
      <c r="Q93" s="523" t="n">
        <v>0.0</v>
      </c>
      <c r="R93" s="444" t="str">
        <f t="shared" si="14"/>
        <v>－</v>
      </c>
    </row>
    <row r="94" spans="1:18">
      <c r="A94" s="19"/>
      <c r="B94" s="29"/>
      <c r="C94" s="430" t="s">
        <v>18</v>
      </c>
      <c r="D94" s="517" t="n">
        <v>0.8333333333333334</v>
      </c>
      <c r="E94" s="450" t="n">
        <v>0.5833333333333334</v>
      </c>
      <c r="F94" s="518" t="n">
        <v>0.0</v>
      </c>
      <c r="G94" s="449" t="n">
        <v>0.0</v>
      </c>
      <c r="H94" s="450" t="n">
        <v>0.0</v>
      </c>
      <c r="I94" s="519" t="n">
        <v>0.0</v>
      </c>
      <c r="J94" s="443" t="str">
        <f t="shared" si="10"/>
        <v>－</v>
      </c>
      <c r="K94" s="449" t="n">
        <v>0.0</v>
      </c>
      <c r="L94" s="444" t="str">
        <f t="shared" si="11"/>
        <v>－</v>
      </c>
      <c r="M94" s="449" t="n">
        <v>0.0</v>
      </c>
      <c r="N94" s="444" t="str">
        <f t="shared" si="12"/>
        <v>－</v>
      </c>
      <c r="O94" s="449" t="n">
        <v>0.0</v>
      </c>
      <c r="P94" s="444" t="str">
        <f t="shared" si="13"/>
        <v>－</v>
      </c>
      <c r="Q94" s="449" t="n">
        <v>0.0</v>
      </c>
      <c r="R94" s="444" t="str">
        <f t="shared" si="14"/>
        <v>－</v>
      </c>
    </row>
    <row r="95" spans="1:18">
      <c r="A95" s="19"/>
      <c r="B95" s="1047" t="s">
        <v>256</v>
      </c>
      <c r="C95" s="460" t="s">
        <v>17</v>
      </c>
      <c r="D95" s="525" t="n">
        <v>0.0</v>
      </c>
      <c r="E95" s="450" t="n">
        <v>0.0</v>
      </c>
      <c r="F95" s="518" t="n">
        <v>0.0</v>
      </c>
      <c r="G95" s="449" t="n">
        <v>0.0</v>
      </c>
      <c r="H95" s="450" t="n">
        <v>0.0</v>
      </c>
      <c r="I95" s="526" t="n">
        <v>0.0</v>
      </c>
      <c r="J95" s="527" t="str">
        <f t="shared" ref="J95:J97" si="15">IFERROR(SUM(G95:I95)/3/F95,"－")</f>
        <v>－</v>
      </c>
      <c r="K95" s="449" t="n">
        <v>0.0</v>
      </c>
      <c r="L95" s="528" t="str">
        <f t="shared" si="11"/>
        <v>－</v>
      </c>
      <c r="M95" s="449" t="n">
        <v>0.0</v>
      </c>
      <c r="N95" s="528" t="str">
        <f t="shared" si="12"/>
        <v>－</v>
      </c>
      <c r="O95" s="449" t="n">
        <v>0.0</v>
      </c>
      <c r="P95" s="528" t="str">
        <f t="shared" si="13"/>
        <v>－</v>
      </c>
      <c r="Q95" s="449" t="n">
        <v>0.0</v>
      </c>
      <c r="R95" s="528" t="str">
        <f t="shared" si="14"/>
        <v>－</v>
      </c>
    </row>
    <row r="96" spans="1:18">
      <c r="A96" s="19"/>
      <c r="B96" s="1048"/>
      <c r="C96" s="460" t="s">
        <v>26</v>
      </c>
      <c r="D96" s="529" t="n">
        <v>0.0</v>
      </c>
      <c r="E96" s="521" t="n">
        <v>0.0</v>
      </c>
      <c r="F96" s="522" t="n">
        <v>0.0</v>
      </c>
      <c r="G96" s="523" t="n">
        <v>0.0</v>
      </c>
      <c r="H96" s="521" t="n">
        <v>0.0</v>
      </c>
      <c r="I96" s="530" t="n">
        <v>0.0</v>
      </c>
      <c r="J96" s="463" t="str">
        <f t="shared" si="15"/>
        <v>－</v>
      </c>
      <c r="K96" s="523" t="n">
        <v>0.0</v>
      </c>
      <c r="L96" s="464" t="str">
        <f t="shared" si="11"/>
        <v>－</v>
      </c>
      <c r="M96" s="523" t="n">
        <v>0.0</v>
      </c>
      <c r="N96" s="464" t="str">
        <f t="shared" si="12"/>
        <v>－</v>
      </c>
      <c r="O96" s="523" t="n">
        <v>0.0</v>
      </c>
      <c r="P96" s="464" t="str">
        <f t="shared" si="13"/>
        <v>－</v>
      </c>
      <c r="Q96" s="523" t="n">
        <v>0.0</v>
      </c>
      <c r="R96" s="464" t="str">
        <f t="shared" si="14"/>
        <v>－</v>
      </c>
    </row>
    <row r="97" spans="1:18">
      <c r="A97" s="19"/>
      <c r="B97" s="29"/>
      <c r="C97" s="460" t="s">
        <v>18</v>
      </c>
      <c r="D97" s="525" t="n">
        <v>0.0</v>
      </c>
      <c r="E97" s="450" t="n">
        <v>0.0</v>
      </c>
      <c r="F97" s="518" t="n">
        <v>0.0</v>
      </c>
      <c r="G97" s="449" t="n">
        <v>0.0</v>
      </c>
      <c r="H97" s="450" t="n">
        <v>0.0</v>
      </c>
      <c r="I97" s="526" t="n">
        <v>0.0</v>
      </c>
      <c r="J97" s="463" t="str">
        <f t="shared" si="15"/>
        <v>－</v>
      </c>
      <c r="K97" s="449" t="n">
        <v>0.0</v>
      </c>
      <c r="L97" s="464" t="str">
        <f t="shared" si="11"/>
        <v>－</v>
      </c>
      <c r="M97" s="449" t="n">
        <v>0.0</v>
      </c>
      <c r="N97" s="464" t="str">
        <f t="shared" si="12"/>
        <v>－</v>
      </c>
      <c r="O97" s="449" t="n">
        <v>0.0</v>
      </c>
      <c r="P97" s="464" t="str">
        <f t="shared" si="13"/>
        <v>－</v>
      </c>
      <c r="Q97" s="449" t="n">
        <v>0.0</v>
      </c>
      <c r="R97" s="464" t="str">
        <f t="shared" si="14"/>
        <v>－</v>
      </c>
    </row>
    <row r="98" spans="1:18">
      <c r="A98" s="19"/>
      <c r="B98" s="1049" t="s">
        <v>50</v>
      </c>
      <c r="C98" s="430" t="s">
        <v>17</v>
      </c>
      <c r="D98" s="517" t="n">
        <v>49271.244</v>
      </c>
      <c r="E98" s="450" t="n">
        <v>51822.631</v>
      </c>
      <c r="F98" s="518" t="n">
        <v>113265.624</v>
      </c>
      <c r="G98" s="449" t="n">
        <v>108313.0</v>
      </c>
      <c r="H98" s="450" t="n">
        <v>108862.0</v>
      </c>
      <c r="I98" s="519" t="n">
        <v>109411.0</v>
      </c>
      <c r="J98" s="451" t="n">
        <f t="shared" si="10"/>
        <v>0.9611212665901174</v>
      </c>
      <c r="K98" s="449" t="n">
        <v>107606.0</v>
      </c>
      <c r="L98" s="452" t="n">
        <f t="shared" si="11"/>
        <v>0.950032288702175</v>
      </c>
      <c r="M98" s="449" t="n">
        <v>108321.0</v>
      </c>
      <c r="N98" s="452" t="n">
        <f t="shared" si="12"/>
        <v>0.9563448835985754</v>
      </c>
      <c r="O98" s="449" t="n">
        <v>102620.0</v>
      </c>
      <c r="P98" s="452" t="n">
        <f t="shared" si="13"/>
        <v>0.9060118717043399</v>
      </c>
      <c r="Q98" s="449" t="n">
        <v>99233.0</v>
      </c>
      <c r="R98" s="452" t="n">
        <f t="shared" si="14"/>
        <v>0.8761087123839092</v>
      </c>
    </row>
    <row r="99" spans="1:18">
      <c r="A99" s="19"/>
      <c r="B99" s="1051"/>
      <c r="C99" s="430" t="s">
        <v>18</v>
      </c>
      <c r="D99" s="517" t="n">
        <v>261.9166666666667</v>
      </c>
      <c r="E99" s="450" t="n">
        <v>277.0833333333333</v>
      </c>
      <c r="F99" s="518" t="n">
        <v>307.0</v>
      </c>
      <c r="G99" s="449" t="n">
        <v>280.0</v>
      </c>
      <c r="H99" s="450" t="n">
        <v>281.0</v>
      </c>
      <c r="I99" s="519" t="n">
        <v>282.0</v>
      </c>
      <c r="J99" s="443" t="n">
        <f t="shared" si="10"/>
        <v>0.9153094462540716</v>
      </c>
      <c r="K99" s="449" t="n">
        <v>279.0</v>
      </c>
      <c r="L99" s="444" t="n">
        <f t="shared" si="11"/>
        <v>0.9087947882736156</v>
      </c>
      <c r="M99" s="449" t="n">
        <v>279.0</v>
      </c>
      <c r="N99" s="444" t="n">
        <f t="shared" si="12"/>
        <v>0.9087947882736156</v>
      </c>
      <c r="O99" s="449" t="n">
        <v>262.0</v>
      </c>
      <c r="P99" s="444" t="n">
        <f t="shared" si="13"/>
        <v>0.8534201954397395</v>
      </c>
      <c r="Q99" s="449" t="n">
        <v>253.0</v>
      </c>
      <c r="R99" s="444" t="n">
        <f t="shared" si="14"/>
        <v>0.8241042345276873</v>
      </c>
    </row>
    <row r="100" spans="1:18">
      <c r="A100" s="19"/>
      <c r="B100" s="1047" t="s">
        <v>51</v>
      </c>
      <c r="C100" s="430" t="s">
        <v>17</v>
      </c>
      <c r="D100" s="517" t="n">
        <v>810.198</v>
      </c>
      <c r="E100" s="450" t="n">
        <v>1628.793</v>
      </c>
      <c r="F100" s="518" t="n">
        <v>1304.316</v>
      </c>
      <c r="G100" s="449" t="n">
        <v>1861.0</v>
      </c>
      <c r="H100" s="450" t="n">
        <v>1861.0</v>
      </c>
      <c r="I100" s="519" t="n">
        <v>1861.0</v>
      </c>
      <c r="J100" s="443" t="n">
        <f t="shared" ref="J100:J103" si="16">IFERROR(SUM(G100:I100)/3/F100,"－")</f>
        <v>1.4268014806227938</v>
      </c>
      <c r="K100" s="449" t="n">
        <v>1861.0</v>
      </c>
      <c r="L100" s="444" t="n">
        <f t="shared" si="11"/>
        <v>1.4268014806227938</v>
      </c>
      <c r="M100" s="449" t="n">
        <v>1861.0</v>
      </c>
      <c r="N100" s="444" t="n">
        <f t="shared" si="12"/>
        <v>1.4268014806227938</v>
      </c>
      <c r="O100" s="449" t="n">
        <v>1861.0</v>
      </c>
      <c r="P100" s="444" t="n">
        <f t="shared" si="13"/>
        <v>1.4268014806227938</v>
      </c>
      <c r="Q100" s="449" t="n">
        <v>1861.0</v>
      </c>
      <c r="R100" s="444" t="n">
        <f t="shared" si="14"/>
        <v>1.4268014806227938</v>
      </c>
    </row>
    <row r="101" spans="1:18">
      <c r="A101" s="19"/>
      <c r="B101" s="1055"/>
      <c r="C101" s="430" t="s">
        <v>18</v>
      </c>
      <c r="D101" s="517" t="n">
        <v>3.3333333333333335</v>
      </c>
      <c r="E101" s="450" t="n">
        <v>5.416666666666667</v>
      </c>
      <c r="F101" s="518" t="n">
        <v>4.0</v>
      </c>
      <c r="G101" s="449" t="n">
        <v>6.0</v>
      </c>
      <c r="H101" s="450" t="n">
        <v>6.0</v>
      </c>
      <c r="I101" s="519" t="n">
        <v>6.0</v>
      </c>
      <c r="J101" s="443" t="n">
        <f t="shared" si="16"/>
        <v>1.5</v>
      </c>
      <c r="K101" s="449" t="n">
        <v>6.0</v>
      </c>
      <c r="L101" s="444" t="n">
        <f t="shared" si="11"/>
        <v>1.5</v>
      </c>
      <c r="M101" s="449" t="n">
        <v>6.0</v>
      </c>
      <c r="N101" s="444" t="n">
        <f t="shared" si="12"/>
        <v>1.5</v>
      </c>
      <c r="O101" s="449" t="n">
        <v>6.0</v>
      </c>
      <c r="P101" s="444" t="n">
        <f t="shared" si="13"/>
        <v>1.5</v>
      </c>
      <c r="Q101" s="449" t="n">
        <v>6.0</v>
      </c>
      <c r="R101" s="444" t="n">
        <f t="shared" si="14"/>
        <v>1.5</v>
      </c>
    </row>
    <row r="102" spans="1:18">
      <c r="A102" s="19"/>
      <c r="B102" s="1047" t="s">
        <v>52</v>
      </c>
      <c r="C102" s="430" t="s">
        <v>17</v>
      </c>
      <c r="D102" s="517" t="n">
        <v>2051.205</v>
      </c>
      <c r="E102" s="450" t="n">
        <v>1952.839</v>
      </c>
      <c r="F102" s="518" t="n">
        <v>2802.84</v>
      </c>
      <c r="G102" s="449" t="n">
        <v>2803.0</v>
      </c>
      <c r="H102" s="450" t="n">
        <v>2803.0</v>
      </c>
      <c r="I102" s="519" t="n">
        <v>2803.0</v>
      </c>
      <c r="J102" s="443" t="n">
        <f t="shared" si="16"/>
        <v>1.0000570849566868</v>
      </c>
      <c r="K102" s="449" t="n">
        <v>2803.0</v>
      </c>
      <c r="L102" s="444" t="n">
        <f t="shared" si="11"/>
        <v>1.0000570849566868</v>
      </c>
      <c r="M102" s="449" t="n">
        <v>2803.0</v>
      </c>
      <c r="N102" s="444" t="n">
        <f t="shared" si="12"/>
        <v>1.0000570849566868</v>
      </c>
      <c r="O102" s="449" t="n">
        <v>2803.0</v>
      </c>
      <c r="P102" s="444" t="n">
        <f t="shared" si="13"/>
        <v>1.0000570849566868</v>
      </c>
      <c r="Q102" s="449" t="n">
        <v>2803.0</v>
      </c>
      <c r="R102" s="444" t="n">
        <f t="shared" si="14"/>
        <v>1.0000570849566868</v>
      </c>
    </row>
    <row r="103" spans="1:18">
      <c r="A103" s="19"/>
      <c r="B103" s="1055"/>
      <c r="C103" s="430" t="s">
        <v>18</v>
      </c>
      <c r="D103" s="517" t="n">
        <v>2.5</v>
      </c>
      <c r="E103" s="450" t="n">
        <v>2.5833333333333335</v>
      </c>
      <c r="F103" s="518" t="n">
        <v>4.0</v>
      </c>
      <c r="G103" s="449" t="n">
        <v>4.0</v>
      </c>
      <c r="H103" s="450" t="n">
        <v>4.0</v>
      </c>
      <c r="I103" s="519" t="n">
        <v>4.0</v>
      </c>
      <c r="J103" s="443" t="n">
        <f t="shared" si="16"/>
        <v>1.0</v>
      </c>
      <c r="K103" s="449" t="n">
        <v>4.0</v>
      </c>
      <c r="L103" s="444" t="n">
        <f t="shared" si="11"/>
        <v>1.0</v>
      </c>
      <c r="M103" s="449" t="n">
        <v>4.0</v>
      </c>
      <c r="N103" s="444" t="n">
        <f t="shared" si="12"/>
        <v>1.0</v>
      </c>
      <c r="O103" s="449" t="n">
        <v>4.0</v>
      </c>
      <c r="P103" s="444" t="n">
        <f t="shared" si="13"/>
        <v>1.0</v>
      </c>
      <c r="Q103" s="449" t="n">
        <v>4.0</v>
      </c>
      <c r="R103" s="444" t="n">
        <f t="shared" si="14"/>
        <v>1.0</v>
      </c>
    </row>
    <row r="104" spans="1:18">
      <c r="A104" s="19"/>
      <c r="B104" s="1053" t="s">
        <v>53</v>
      </c>
      <c r="C104" s="430" t="s">
        <v>17</v>
      </c>
      <c r="D104" s="517" t="n">
        <v>53044.683</v>
      </c>
      <c r="E104" s="450" t="n">
        <v>46263.752</v>
      </c>
      <c r="F104" s="518" t="n">
        <v>47930.268</v>
      </c>
      <c r="G104" s="449" t="n">
        <v>50254.0</v>
      </c>
      <c r="H104" s="450" t="n">
        <v>50281.0</v>
      </c>
      <c r="I104" s="519" t="n">
        <v>50281.0</v>
      </c>
      <c r="J104" s="451" t="n">
        <f>IFERROR(SUM(G104:I104)/3/F104,"－")</f>
        <v>1.04885706042787</v>
      </c>
      <c r="K104" s="449" t="n">
        <v>50281.0</v>
      </c>
      <c r="L104" s="452" t="n">
        <f>IFERROR(K104/F104,"－")</f>
        <v>1.0490448332147861</v>
      </c>
      <c r="M104" s="449" t="n">
        <v>43257.0</v>
      </c>
      <c r="N104" s="452" t="n">
        <f t="shared" si="12"/>
        <v>0.9024986048481933</v>
      </c>
      <c r="O104" s="449" t="n">
        <v>36588.0</v>
      </c>
      <c r="P104" s="452" t="n">
        <f t="shared" si="13"/>
        <v>0.7633589697432946</v>
      </c>
      <c r="Q104" s="449" t="n">
        <v>36588.0</v>
      </c>
      <c r="R104" s="452" t="n">
        <f t="shared" si="14"/>
        <v>0.7633589697432946</v>
      </c>
    </row>
    <row r="105" spans="1:18" ht="14.25" thickBot="1">
      <c r="A105" s="25"/>
      <c r="B105" s="1056"/>
      <c r="C105" s="491" t="s">
        <v>18</v>
      </c>
      <c r="D105" s="517" t="n">
        <v>22.5</v>
      </c>
      <c r="E105" s="450" t="n">
        <v>20.75</v>
      </c>
      <c r="F105" s="518" t="n">
        <v>21.0</v>
      </c>
      <c r="G105" s="531" t="n">
        <v>22.0</v>
      </c>
      <c r="H105" s="532" t="n">
        <v>22.0</v>
      </c>
      <c r="I105" s="533" t="n">
        <v>22.0</v>
      </c>
      <c r="J105" s="496" t="n">
        <f>IFERROR(SUM(G105:I105)/3/F105,"－")</f>
        <v>1.0476190476190477</v>
      </c>
      <c r="K105" s="531" t="n">
        <v>22.0</v>
      </c>
      <c r="L105" s="497" t="n">
        <f>IFERROR(K105/F105,"－")</f>
        <v>1.0476190476190477</v>
      </c>
      <c r="M105" s="531" t="n">
        <v>19.0</v>
      </c>
      <c r="N105" s="497" t="n">
        <f t="shared" si="12"/>
        <v>0.9047619047619048</v>
      </c>
      <c r="O105" s="531" t="n">
        <v>16.0</v>
      </c>
      <c r="P105" s="497" t="n">
        <f t="shared" si="13"/>
        <v>0.7619047619047619</v>
      </c>
      <c r="Q105" s="531" t="n">
        <v>16.0</v>
      </c>
      <c r="R105" s="497" t="n">
        <f t="shared" si="14"/>
        <v>0.7619047619047619</v>
      </c>
    </row>
    <row r="106" spans="1:18">
      <c r="A106" s="19" t="s">
        <v>54</v>
      </c>
      <c r="B106" s="421"/>
      <c r="C106" s="534"/>
      <c r="D106" s="535"/>
      <c r="E106" s="536"/>
      <c r="F106" s="537"/>
      <c r="G106" s="538"/>
      <c r="H106" s="536"/>
      <c r="I106" s="539"/>
      <c r="J106" s="540"/>
      <c r="K106" s="541"/>
      <c r="L106" s="542"/>
      <c r="M106" s="541"/>
      <c r="N106" s="542"/>
      <c r="O106" s="541"/>
      <c r="P106" s="542"/>
      <c r="Q106" s="541"/>
      <c r="R106" s="542"/>
    </row>
    <row r="107" spans="1:18">
      <c r="A107" s="24"/>
      <c r="B107" s="1047" t="s">
        <v>55</v>
      </c>
      <c r="C107" s="430" t="s">
        <v>17</v>
      </c>
      <c r="D107" s="517" t="n">
        <v>0.0</v>
      </c>
      <c r="E107" s="450" t="n">
        <v>0.0</v>
      </c>
      <c r="F107" s="543" t="n">
        <v>0.0</v>
      </c>
      <c r="G107" s="518" t="n">
        <v>0.0</v>
      </c>
      <c r="H107" s="450" t="n">
        <v>0.0</v>
      </c>
      <c r="I107" s="519" t="n">
        <v>0.0</v>
      </c>
      <c r="J107" s="451" t="str">
        <f t="shared" ref="J107:J126" si="17">IFERROR(SUM(G107:I107)/3/F107,"－")</f>
        <v>－</v>
      </c>
      <c r="K107" s="449" t="n">
        <v>0.0</v>
      </c>
      <c r="L107" s="452" t="str">
        <f t="shared" ref="L107:L122" si="18">IFERROR(K107/F107,"－")</f>
        <v>－</v>
      </c>
      <c r="M107" s="449" t="n">
        <v>0.0</v>
      </c>
      <c r="N107" s="452" t="str">
        <f t="shared" si="12"/>
        <v>－</v>
      </c>
      <c r="O107" s="449" t="n">
        <v>0.0</v>
      </c>
      <c r="P107" s="452" t="str">
        <f t="shared" si="13"/>
        <v>－</v>
      </c>
      <c r="Q107" s="449" t="n">
        <v>0.0</v>
      </c>
      <c r="R107" s="452" t="str">
        <f t="shared" si="14"/>
        <v>－</v>
      </c>
    </row>
    <row r="108" spans="1:18">
      <c r="A108" s="24"/>
      <c r="B108" s="1055"/>
      <c r="C108" s="430" t="s">
        <v>18</v>
      </c>
      <c r="D108" s="517" t="n">
        <v>0.0</v>
      </c>
      <c r="E108" s="450" t="n">
        <v>0.0</v>
      </c>
      <c r="F108" s="543" t="n">
        <v>0.0</v>
      </c>
      <c r="G108" s="518" t="n">
        <v>0.0</v>
      </c>
      <c r="H108" s="450" t="n">
        <v>0.0</v>
      </c>
      <c r="I108" s="519" t="n">
        <v>0.0</v>
      </c>
      <c r="J108" s="453" t="str">
        <f t="shared" si="17"/>
        <v>－</v>
      </c>
      <c r="K108" s="449" t="n">
        <v>0.0</v>
      </c>
      <c r="L108" s="444" t="str">
        <f t="shared" si="18"/>
        <v>－</v>
      </c>
      <c r="M108" s="449" t="n">
        <v>0.0</v>
      </c>
      <c r="N108" s="444" t="str">
        <f t="shared" si="12"/>
        <v>－</v>
      </c>
      <c r="O108" s="449" t="n">
        <v>0.0</v>
      </c>
      <c r="P108" s="444" t="str">
        <f t="shared" si="13"/>
        <v>－</v>
      </c>
      <c r="Q108" s="449" t="n">
        <v>0.0</v>
      </c>
      <c r="R108" s="444" t="str">
        <f t="shared" si="14"/>
        <v>－</v>
      </c>
    </row>
    <row r="109" spans="1:18">
      <c r="A109" s="24"/>
      <c r="B109" s="1049" t="s">
        <v>56</v>
      </c>
      <c r="C109" s="430" t="s">
        <v>17</v>
      </c>
      <c r="D109" s="517" t="n">
        <v>0.0</v>
      </c>
      <c r="E109" s="450" t="n">
        <v>0.0</v>
      </c>
      <c r="F109" s="543" t="n">
        <v>0.0</v>
      </c>
      <c r="G109" s="518" t="n">
        <v>0.0</v>
      </c>
      <c r="H109" s="450" t="n">
        <v>0.0</v>
      </c>
      <c r="I109" s="519" t="n">
        <v>0.0</v>
      </c>
      <c r="J109" s="451" t="str">
        <f t="shared" si="17"/>
        <v>－</v>
      </c>
      <c r="K109" s="449" t="n">
        <v>0.0</v>
      </c>
      <c r="L109" s="452" t="str">
        <f t="shared" si="18"/>
        <v>－</v>
      </c>
      <c r="M109" s="449" t="n">
        <v>0.0</v>
      </c>
      <c r="N109" s="452" t="str">
        <f t="shared" si="12"/>
        <v>－</v>
      </c>
      <c r="O109" s="449" t="n">
        <v>0.0</v>
      </c>
      <c r="P109" s="452" t="str">
        <f t="shared" si="13"/>
        <v>－</v>
      </c>
      <c r="Q109" s="449" t="n">
        <v>0.0</v>
      </c>
      <c r="R109" s="452" t="str">
        <f t="shared" si="14"/>
        <v>－</v>
      </c>
    </row>
    <row r="110" spans="1:18">
      <c r="A110" s="19"/>
      <c r="B110" s="1051"/>
      <c r="C110" s="430" t="s">
        <v>18</v>
      </c>
      <c r="D110" s="517" t="n">
        <v>0.0</v>
      </c>
      <c r="E110" s="450" t="n">
        <v>0.0</v>
      </c>
      <c r="F110" s="543" t="n">
        <v>0.0</v>
      </c>
      <c r="G110" s="518" t="n">
        <v>0.0</v>
      </c>
      <c r="H110" s="450" t="n">
        <v>0.0</v>
      </c>
      <c r="I110" s="519" t="n">
        <v>0.0</v>
      </c>
      <c r="J110" s="443" t="str">
        <f t="shared" si="17"/>
        <v>－</v>
      </c>
      <c r="K110" s="449" t="n">
        <v>0.0</v>
      </c>
      <c r="L110" s="444" t="str">
        <f t="shared" si="18"/>
        <v>－</v>
      </c>
      <c r="M110" s="449" t="n">
        <v>0.0</v>
      </c>
      <c r="N110" s="444" t="str">
        <f t="shared" si="12"/>
        <v>－</v>
      </c>
      <c r="O110" s="449" t="n">
        <v>0.0</v>
      </c>
      <c r="P110" s="444" t="str">
        <f t="shared" si="13"/>
        <v>－</v>
      </c>
      <c r="Q110" s="449" t="n">
        <v>0.0</v>
      </c>
      <c r="R110" s="444" t="str">
        <f t="shared" si="14"/>
        <v>－</v>
      </c>
    </row>
    <row r="111" spans="1:18">
      <c r="A111" s="19"/>
      <c r="B111" s="1049" t="s">
        <v>97</v>
      </c>
      <c r="C111" s="430" t="s">
        <v>17</v>
      </c>
      <c r="D111" s="517" t="n">
        <v>23974.136</v>
      </c>
      <c r="E111" s="450" t="n">
        <v>20340.815</v>
      </c>
      <c r="F111" s="543" t="n">
        <v>31994.844</v>
      </c>
      <c r="G111" s="518" t="n">
        <v>30116.0</v>
      </c>
      <c r="H111" s="450" t="n">
        <v>30133.0</v>
      </c>
      <c r="I111" s="519" t="n">
        <v>30133.0</v>
      </c>
      <c r="J111" s="451" t="n">
        <f>IFERROR(SUM(G111:I111)/3/F111,"－")</f>
        <v>0.9416308869433253</v>
      </c>
      <c r="K111" s="449" t="n">
        <v>30133.0</v>
      </c>
      <c r="L111" s="470" t="n">
        <f t="shared" ref="L111:L113" si="19">IFERROR(K111/F111,"－")</f>
        <v>0.9418079988138088</v>
      </c>
      <c r="M111" s="449" t="n">
        <v>30133.0</v>
      </c>
      <c r="N111" s="470" t="n">
        <f t="shared" si="12"/>
        <v>0.9418079988138088</v>
      </c>
      <c r="O111" s="449" t="n">
        <v>27707.0</v>
      </c>
      <c r="P111" s="470" t="n">
        <f t="shared" si="13"/>
        <v>0.8659832815562407</v>
      </c>
      <c r="Q111" s="449" t="n">
        <v>25281.0</v>
      </c>
      <c r="R111" s="470" t="n">
        <f t="shared" si="14"/>
        <v>0.7901585642986726</v>
      </c>
    </row>
    <row r="112" spans="1:18">
      <c r="A112" s="19"/>
      <c r="B112" s="1050"/>
      <c r="C112" s="430" t="s">
        <v>20</v>
      </c>
      <c r="D112" s="520" t="n">
        <v>211.66666666666666</v>
      </c>
      <c r="E112" s="521" t="n">
        <v>202.0</v>
      </c>
      <c r="F112" s="544" t="n">
        <v>329.6</v>
      </c>
      <c r="G112" s="522" t="n">
        <v>312.5</v>
      </c>
      <c r="H112" s="521" t="n">
        <v>312.5</v>
      </c>
      <c r="I112" s="524" t="n">
        <v>312.5</v>
      </c>
      <c r="J112" s="443" t="n">
        <f>IFERROR(SUM(G112:I112)/3/F112,"－")</f>
        <v>0.9481189320388349</v>
      </c>
      <c r="K112" s="523" t="n">
        <v>312.5</v>
      </c>
      <c r="L112" s="470" t="n">
        <f t="shared" si="19"/>
        <v>0.9481189320388349</v>
      </c>
      <c r="M112" s="523" t="n">
        <v>312.5</v>
      </c>
      <c r="N112" s="470" t="n">
        <f t="shared" si="12"/>
        <v>0.9481189320388349</v>
      </c>
      <c r="O112" s="523" t="n">
        <v>287.5</v>
      </c>
      <c r="P112" s="470" t="n">
        <f t="shared" si="13"/>
        <v>0.8722694174757281</v>
      </c>
      <c r="Q112" s="523" t="n">
        <v>262.5</v>
      </c>
      <c r="R112" s="470" t="n">
        <f t="shared" si="14"/>
        <v>0.7964199029126213</v>
      </c>
    </row>
    <row r="113" spans="1:18">
      <c r="A113" s="19"/>
      <c r="B113" s="545"/>
      <c r="C113" s="430" t="s">
        <v>18</v>
      </c>
      <c r="D113" s="517" t="n">
        <v>9.666666666666666</v>
      </c>
      <c r="E113" s="450" t="n">
        <v>10.916666666666666</v>
      </c>
      <c r="F113" s="543" t="n">
        <v>16.0</v>
      </c>
      <c r="G113" s="518" t="n">
        <v>15.0</v>
      </c>
      <c r="H113" s="450" t="n">
        <v>15.0</v>
      </c>
      <c r="I113" s="519" t="n">
        <v>15.0</v>
      </c>
      <c r="J113" s="443" t="n">
        <f>IFERROR(SUM(G113:I113)/3/F113,"－")</f>
        <v>0.9375</v>
      </c>
      <c r="K113" s="449" t="n">
        <v>15.0</v>
      </c>
      <c r="L113" s="470" t="n">
        <f t="shared" si="19"/>
        <v>0.9375</v>
      </c>
      <c r="M113" s="449" t="n">
        <v>15.0</v>
      </c>
      <c r="N113" s="470" t="n">
        <f t="shared" si="12"/>
        <v>0.9375</v>
      </c>
      <c r="O113" s="449" t="n">
        <v>14.0</v>
      </c>
      <c r="P113" s="470" t="n">
        <f t="shared" si="13"/>
        <v>0.875</v>
      </c>
      <c r="Q113" s="449" t="n">
        <v>13.0</v>
      </c>
      <c r="R113" s="470" t="n">
        <f t="shared" si="14"/>
        <v>0.8125</v>
      </c>
    </row>
    <row r="114" spans="1:18">
      <c r="A114" s="24"/>
      <c r="B114" s="1049" t="s">
        <v>57</v>
      </c>
      <c r="C114" s="430" t="s">
        <v>17</v>
      </c>
      <c r="D114" s="517" t="n">
        <v>1916.996</v>
      </c>
      <c r="E114" s="450" t="n">
        <v>1308.867</v>
      </c>
      <c r="F114" s="543" t="n">
        <v>1093.6944</v>
      </c>
      <c r="G114" s="518" t="n">
        <v>1581.0</v>
      </c>
      <c r="H114" s="450" t="n">
        <v>1582.0</v>
      </c>
      <c r="I114" s="519" t="n">
        <v>1582.0</v>
      </c>
      <c r="J114" s="451" t="n">
        <f t="shared" si="17"/>
        <v>1.4461687530508216</v>
      </c>
      <c r="K114" s="449" t="n">
        <v>1582.0</v>
      </c>
      <c r="L114" s="452" t="n">
        <f t="shared" si="18"/>
        <v>1.4464735304487248</v>
      </c>
      <c r="M114" s="449" t="n">
        <v>1582.0</v>
      </c>
      <c r="N114" s="452" t="n">
        <f t="shared" si="12"/>
        <v>1.4464735304487248</v>
      </c>
      <c r="O114" s="449" t="n">
        <v>1582.0</v>
      </c>
      <c r="P114" s="452" t="n">
        <f t="shared" si="13"/>
        <v>1.4464735304487248</v>
      </c>
      <c r="Q114" s="449" t="n">
        <v>1582.0</v>
      </c>
      <c r="R114" s="452" t="n">
        <f t="shared" si="14"/>
        <v>1.4464735304487248</v>
      </c>
    </row>
    <row r="115" spans="1:18">
      <c r="A115" s="19"/>
      <c r="B115" s="1050"/>
      <c r="C115" s="430" t="s">
        <v>20</v>
      </c>
      <c r="D115" s="520" t="n">
        <v>29.833333333333332</v>
      </c>
      <c r="E115" s="521" t="n">
        <v>22.0</v>
      </c>
      <c r="F115" s="544" t="n">
        <v>17.4</v>
      </c>
      <c r="G115" s="522" t="n">
        <v>25.0</v>
      </c>
      <c r="H115" s="521" t="n">
        <v>25.0</v>
      </c>
      <c r="I115" s="524" t="n">
        <v>25.0</v>
      </c>
      <c r="J115" s="443" t="n">
        <f t="shared" si="17"/>
        <v>1.4367816091954024</v>
      </c>
      <c r="K115" s="523" t="n">
        <v>25.0</v>
      </c>
      <c r="L115" s="444" t="n">
        <f t="shared" si="18"/>
        <v>1.4367816091954024</v>
      </c>
      <c r="M115" s="523" t="n">
        <v>25.0</v>
      </c>
      <c r="N115" s="444" t="n">
        <f t="shared" si="12"/>
        <v>1.4367816091954024</v>
      </c>
      <c r="O115" s="523" t="n">
        <v>25.0</v>
      </c>
      <c r="P115" s="444" t="n">
        <f t="shared" si="13"/>
        <v>1.4367816091954024</v>
      </c>
      <c r="Q115" s="523" t="n">
        <v>25.0</v>
      </c>
      <c r="R115" s="444" t="n">
        <f t="shared" si="14"/>
        <v>1.4367816091954024</v>
      </c>
    </row>
    <row r="116" spans="1:18">
      <c r="A116" s="19"/>
      <c r="B116" s="478"/>
      <c r="C116" s="430" t="s">
        <v>18</v>
      </c>
      <c r="D116" s="517" t="n">
        <v>1.5</v>
      </c>
      <c r="E116" s="450" t="n">
        <v>2.4166666666666665</v>
      </c>
      <c r="F116" s="543" t="n">
        <v>1.0</v>
      </c>
      <c r="G116" s="518" t="n">
        <v>1.0</v>
      </c>
      <c r="H116" s="450" t="n">
        <v>1.0</v>
      </c>
      <c r="I116" s="519" t="n">
        <v>1.0</v>
      </c>
      <c r="J116" s="443" t="n">
        <f t="shared" si="17"/>
        <v>1.0</v>
      </c>
      <c r="K116" s="449" t="n">
        <v>1.0</v>
      </c>
      <c r="L116" s="444" t="n">
        <f t="shared" si="18"/>
        <v>1.0</v>
      </c>
      <c r="M116" s="449" t="n">
        <v>1.0</v>
      </c>
      <c r="N116" s="444" t="n">
        <f t="shared" si="12"/>
        <v>1.0</v>
      </c>
      <c r="O116" s="449" t="n">
        <v>1.0</v>
      </c>
      <c r="P116" s="444" t="n">
        <f t="shared" si="13"/>
        <v>1.0</v>
      </c>
      <c r="Q116" s="449" t="n">
        <v>1.0</v>
      </c>
      <c r="R116" s="444" t="n">
        <f t="shared" si="14"/>
        <v>1.0</v>
      </c>
    </row>
    <row r="117" spans="1:18">
      <c r="A117" s="24"/>
      <c r="B117" s="1049" t="s">
        <v>58</v>
      </c>
      <c r="C117" s="430" t="s">
        <v>17</v>
      </c>
      <c r="D117" s="517" t="n">
        <v>0.0</v>
      </c>
      <c r="E117" s="450" t="n">
        <v>0.0</v>
      </c>
      <c r="F117" s="543" t="n">
        <v>0.0</v>
      </c>
      <c r="G117" s="518" t="n">
        <v>0.0</v>
      </c>
      <c r="H117" s="450" t="n">
        <v>0.0</v>
      </c>
      <c r="I117" s="519" t="n">
        <v>0.0</v>
      </c>
      <c r="J117" s="451" t="str">
        <f t="shared" si="17"/>
        <v>－</v>
      </c>
      <c r="K117" s="449" t="n">
        <v>0.0</v>
      </c>
      <c r="L117" s="452" t="str">
        <f t="shared" si="18"/>
        <v>－</v>
      </c>
      <c r="M117" s="449" t="n">
        <v>0.0</v>
      </c>
      <c r="N117" s="452" t="str">
        <f t="shared" si="12"/>
        <v>－</v>
      </c>
      <c r="O117" s="449" t="n">
        <v>0.0</v>
      </c>
      <c r="P117" s="452" t="str">
        <f t="shared" si="13"/>
        <v>－</v>
      </c>
      <c r="Q117" s="449" t="n">
        <v>0.0</v>
      </c>
      <c r="R117" s="452" t="str">
        <f t="shared" si="14"/>
        <v>－</v>
      </c>
    </row>
    <row r="118" spans="1:18">
      <c r="A118" s="19"/>
      <c r="B118" s="1051"/>
      <c r="C118" s="430" t="s">
        <v>18</v>
      </c>
      <c r="D118" s="517" t="n">
        <v>0.0</v>
      </c>
      <c r="E118" s="450" t="n">
        <v>0.0</v>
      </c>
      <c r="F118" s="543" t="n">
        <v>0.0</v>
      </c>
      <c r="G118" s="518" t="n">
        <v>0.0</v>
      </c>
      <c r="H118" s="450" t="n">
        <v>0.0</v>
      </c>
      <c r="I118" s="519" t="n">
        <v>0.0</v>
      </c>
      <c r="J118" s="443" t="str">
        <f t="shared" si="17"/>
        <v>－</v>
      </c>
      <c r="K118" s="449" t="n">
        <v>0.0</v>
      </c>
      <c r="L118" s="444" t="str">
        <f t="shared" si="18"/>
        <v>－</v>
      </c>
      <c r="M118" s="449" t="n">
        <v>0.0</v>
      </c>
      <c r="N118" s="444" t="str">
        <f t="shared" si="12"/>
        <v>－</v>
      </c>
      <c r="O118" s="449" t="n">
        <v>0.0</v>
      </c>
      <c r="P118" s="444" t="str">
        <f t="shared" si="13"/>
        <v>－</v>
      </c>
      <c r="Q118" s="449" t="n">
        <v>0.0</v>
      </c>
      <c r="R118" s="444" t="str">
        <f t="shared" si="14"/>
        <v>－</v>
      </c>
    </row>
    <row r="119" spans="1:18">
      <c r="A119" s="19"/>
      <c r="B119" s="1053" t="s">
        <v>59</v>
      </c>
      <c r="C119" s="430" t="s">
        <v>17</v>
      </c>
      <c r="D119" s="517" t="n">
        <v>233547.63</v>
      </c>
      <c r="E119" s="450" t="n">
        <v>244237.139</v>
      </c>
      <c r="F119" s="543" t="n">
        <v>255807.756</v>
      </c>
      <c r="G119" s="518" t="n">
        <v>253628.0</v>
      </c>
      <c r="H119" s="450" t="n">
        <v>250251.0</v>
      </c>
      <c r="I119" s="519" t="n">
        <v>253378.0</v>
      </c>
      <c r="J119" s="451" t="n">
        <f t="shared" si="17"/>
        <v>0.9867527237915336</v>
      </c>
      <c r="K119" s="449" t="n">
        <v>250428.0</v>
      </c>
      <c r="L119" s="452" t="n">
        <f t="shared" si="18"/>
        <v>0.9789695352317621</v>
      </c>
      <c r="M119" s="449" t="n">
        <v>215400.0</v>
      </c>
      <c r="N119" s="452" t="n">
        <f t="shared" si="12"/>
        <v>0.8420385815041511</v>
      </c>
      <c r="O119" s="449" t="n">
        <v>203558.0</v>
      </c>
      <c r="P119" s="452" t="n">
        <f t="shared" si="13"/>
        <v>0.7957460054494986</v>
      </c>
      <c r="Q119" s="449" t="n">
        <v>203558.0</v>
      </c>
      <c r="R119" s="452" t="n">
        <f t="shared" si="14"/>
        <v>0.7957460054494986</v>
      </c>
    </row>
    <row r="120" spans="1:18">
      <c r="A120" s="19"/>
      <c r="B120" s="1054"/>
      <c r="C120" s="430" t="s">
        <v>18</v>
      </c>
      <c r="D120" s="517" t="n">
        <v>83.16666666666667</v>
      </c>
      <c r="E120" s="450" t="n">
        <v>84.91666666666667</v>
      </c>
      <c r="F120" s="543" t="n">
        <v>87.0</v>
      </c>
      <c r="G120" s="518" t="n">
        <v>86.0</v>
      </c>
      <c r="H120" s="450" t="n">
        <v>85.0</v>
      </c>
      <c r="I120" s="519" t="n">
        <v>86.0</v>
      </c>
      <c r="J120" s="443" t="n">
        <f t="shared" si="17"/>
        <v>0.9846743295019158</v>
      </c>
      <c r="K120" s="449" t="n">
        <v>85.0</v>
      </c>
      <c r="L120" s="444" t="n">
        <f t="shared" si="18"/>
        <v>0.9770114942528736</v>
      </c>
      <c r="M120" s="449" t="n">
        <v>73.0</v>
      </c>
      <c r="N120" s="444" t="n">
        <f t="shared" si="12"/>
        <v>0.8390804597701149</v>
      </c>
      <c r="O120" s="449" t="n">
        <v>69.0</v>
      </c>
      <c r="P120" s="444" t="n">
        <f t="shared" si="13"/>
        <v>0.7931034482758621</v>
      </c>
      <c r="Q120" s="449" t="n">
        <v>69.0</v>
      </c>
      <c r="R120" s="444" t="n">
        <f t="shared" si="14"/>
        <v>0.7931034482758621</v>
      </c>
    </row>
    <row r="121" spans="1:18">
      <c r="A121" s="19"/>
      <c r="B121" s="1053" t="s">
        <v>60</v>
      </c>
      <c r="C121" s="430" t="s">
        <v>17</v>
      </c>
      <c r="D121" s="517" t="n">
        <v>0.0</v>
      </c>
      <c r="E121" s="450" t="n">
        <v>0.0</v>
      </c>
      <c r="F121" s="543" t="n">
        <v>0.0</v>
      </c>
      <c r="G121" s="518" t="n">
        <v>0.0</v>
      </c>
      <c r="H121" s="450" t="n">
        <v>0.0</v>
      </c>
      <c r="I121" s="519" t="n">
        <v>0.0</v>
      </c>
      <c r="J121" s="451" t="str">
        <f t="shared" si="17"/>
        <v>－</v>
      </c>
      <c r="K121" s="449" t="n">
        <v>0.0</v>
      </c>
      <c r="L121" s="444" t="str">
        <f t="shared" si="18"/>
        <v>－</v>
      </c>
      <c r="M121" s="449" t="n">
        <v>0.0</v>
      </c>
      <c r="N121" s="444" t="str">
        <f t="shared" si="12"/>
        <v>－</v>
      </c>
      <c r="O121" s="449" t="n">
        <v>0.0</v>
      </c>
      <c r="P121" s="444" t="str">
        <f t="shared" si="13"/>
        <v>－</v>
      </c>
      <c r="Q121" s="449" t="n">
        <v>0.0</v>
      </c>
      <c r="R121" s="444" t="str">
        <f t="shared" si="14"/>
        <v>－</v>
      </c>
    </row>
    <row r="122" spans="1:18">
      <c r="A122" s="19"/>
      <c r="B122" s="1054"/>
      <c r="C122" s="430" t="s">
        <v>18</v>
      </c>
      <c r="D122" s="517" t="n">
        <v>0.0</v>
      </c>
      <c r="E122" s="450" t="n">
        <v>0.0</v>
      </c>
      <c r="F122" s="543" t="n">
        <v>0.0</v>
      </c>
      <c r="G122" s="518" t="n">
        <v>0.0</v>
      </c>
      <c r="H122" s="450" t="n">
        <v>0.0</v>
      </c>
      <c r="I122" s="519" t="n">
        <v>0.0</v>
      </c>
      <c r="J122" s="443" t="str">
        <f t="shared" si="17"/>
        <v>－</v>
      </c>
      <c r="K122" s="449" t="n">
        <v>0.0</v>
      </c>
      <c r="L122" s="444" t="str">
        <f t="shared" si="18"/>
        <v>－</v>
      </c>
      <c r="M122" s="449" t="n">
        <v>0.0</v>
      </c>
      <c r="N122" s="444" t="str">
        <f t="shared" si="12"/>
        <v>－</v>
      </c>
      <c r="O122" s="449" t="n">
        <v>0.0</v>
      </c>
      <c r="P122" s="444" t="str">
        <f t="shared" si="13"/>
        <v>－</v>
      </c>
      <c r="Q122" s="449" t="n">
        <v>0.0</v>
      </c>
      <c r="R122" s="444" t="str">
        <f t="shared" si="14"/>
        <v>－</v>
      </c>
    </row>
    <row r="123" spans="1:18">
      <c r="A123" s="19"/>
      <c r="B123" s="1053" t="s">
        <v>61</v>
      </c>
      <c r="C123" s="430" t="s">
        <v>17</v>
      </c>
      <c r="D123" s="517" t="n">
        <v>64942.096</v>
      </c>
      <c r="E123" s="450" t="n">
        <v>64211.131</v>
      </c>
      <c r="F123" s="543" t="n">
        <v>72476.988</v>
      </c>
      <c r="G123" s="518" t="n">
        <v>69800.0</v>
      </c>
      <c r="H123" s="450" t="n">
        <v>69839.0</v>
      </c>
      <c r="I123" s="519" t="n">
        <v>69839.0</v>
      </c>
      <c r="J123" s="451" t="n">
        <f t="shared" si="17"/>
        <v>0.9634230384960258</v>
      </c>
      <c r="K123" s="449" t="n">
        <v>66716.0</v>
      </c>
      <c r="L123" s="452" t="n">
        <f>IFERROR(K123/F123,"－")</f>
        <v>0.9205128667874554</v>
      </c>
      <c r="M123" s="449" t="n">
        <v>63231.0</v>
      </c>
      <c r="N123" s="452" t="n">
        <f t="shared" si="12"/>
        <v>0.8724286390047004</v>
      </c>
      <c r="O123" s="449" t="n">
        <v>59569.0</v>
      </c>
      <c r="P123" s="452" t="n">
        <f t="shared" si="13"/>
        <v>0.8219022567549303</v>
      </c>
      <c r="Q123" s="449" t="n">
        <v>59569.0</v>
      </c>
      <c r="R123" s="452" t="n">
        <f t="shared" si="14"/>
        <v>0.8219022567549303</v>
      </c>
    </row>
    <row r="124" spans="1:18">
      <c r="A124" s="19"/>
      <c r="B124" s="1054"/>
      <c r="C124" s="430" t="s">
        <v>18</v>
      </c>
      <c r="D124" s="517" t="n">
        <v>20.0</v>
      </c>
      <c r="E124" s="450" t="n">
        <v>20.25</v>
      </c>
      <c r="F124" s="543" t="n">
        <v>22.0</v>
      </c>
      <c r="G124" s="518" t="n">
        <v>21.0</v>
      </c>
      <c r="H124" s="450" t="n">
        <v>21.0</v>
      </c>
      <c r="I124" s="519" t="n">
        <v>21.0</v>
      </c>
      <c r="J124" s="443" t="n">
        <f t="shared" si="17"/>
        <v>0.9545454545454546</v>
      </c>
      <c r="K124" s="449" t="n">
        <v>20.0</v>
      </c>
      <c r="L124" s="444" t="n">
        <f>IFERROR(K124/F124,"－")</f>
        <v>0.9090909090909091</v>
      </c>
      <c r="M124" s="449" t="n">
        <v>19.0</v>
      </c>
      <c r="N124" s="444" t="n">
        <f t="shared" si="12"/>
        <v>0.8636363636363636</v>
      </c>
      <c r="O124" s="449" t="n">
        <v>18.0</v>
      </c>
      <c r="P124" s="444" t="n">
        <f t="shared" si="13"/>
        <v>0.8181818181818182</v>
      </c>
      <c r="Q124" s="449" t="n">
        <v>18.0</v>
      </c>
      <c r="R124" s="444" t="n">
        <f t="shared" si="14"/>
        <v>0.8181818181818182</v>
      </c>
    </row>
    <row r="125" spans="1:18">
      <c r="A125" s="19"/>
      <c r="B125" s="1047" t="s">
        <v>94</v>
      </c>
      <c r="C125" s="430" t="s">
        <v>17</v>
      </c>
      <c r="D125" s="517" t="n">
        <v>38692.324</v>
      </c>
      <c r="E125" s="450" t="n">
        <v>39495.843</v>
      </c>
      <c r="F125" s="543" t="n">
        <v>35789.04</v>
      </c>
      <c r="G125" s="518" t="n">
        <v>42969.0</v>
      </c>
      <c r="H125" s="450" t="n">
        <v>47372.0</v>
      </c>
      <c r="I125" s="519" t="n">
        <v>47372.0</v>
      </c>
      <c r="J125" s="451" t="n">
        <f t="shared" si="17"/>
        <v>1.2826366209692501</v>
      </c>
      <c r="K125" s="449" t="n">
        <v>47372.0</v>
      </c>
      <c r="L125" s="452" t="n">
        <f>IFERROR(K125/F125,"－")</f>
        <v>1.3236454512331148</v>
      </c>
      <c r="M125" s="449" t="n">
        <v>47372.0</v>
      </c>
      <c r="N125" s="452" t="n">
        <f t="shared" si="12"/>
        <v>1.3236454512331148</v>
      </c>
      <c r="O125" s="449" t="n">
        <v>42993.0</v>
      </c>
      <c r="P125" s="452" t="n">
        <f t="shared" si="13"/>
        <v>1.2012895568028648</v>
      </c>
      <c r="Q125" s="449" t="n">
        <v>42993.0</v>
      </c>
      <c r="R125" s="452" t="n">
        <f t="shared" si="14"/>
        <v>1.2012895568028648</v>
      </c>
    </row>
    <row r="126" spans="1:18" ht="14.25" thickBot="1">
      <c r="A126" s="19"/>
      <c r="B126" s="1055"/>
      <c r="C126" s="430" t="s">
        <v>18</v>
      </c>
      <c r="D126" s="517" t="n">
        <v>12.083333333333334</v>
      </c>
      <c r="E126" s="450" t="n">
        <v>11.333333333333334</v>
      </c>
      <c r="F126" s="543" t="n">
        <v>9.0</v>
      </c>
      <c r="G126" s="546" t="n">
        <v>11.0</v>
      </c>
      <c r="H126" s="547" t="n">
        <v>12.0</v>
      </c>
      <c r="I126" s="548" t="n">
        <v>12.0</v>
      </c>
      <c r="J126" s="469" t="n">
        <f t="shared" si="17"/>
        <v>1.2962962962962963</v>
      </c>
      <c r="K126" s="549" t="n">
        <v>12.0</v>
      </c>
      <c r="L126" s="470" t="n">
        <f>IFERROR(K126/F126,"－")</f>
        <v>1.3333333333333333</v>
      </c>
      <c r="M126" s="549" t="n">
        <v>12.0</v>
      </c>
      <c r="N126" s="470" t="n">
        <f t="shared" si="12"/>
        <v>1.3333333333333333</v>
      </c>
      <c r="O126" s="549" t="n">
        <v>11.0</v>
      </c>
      <c r="P126" s="470" t="n">
        <f t="shared" si="13"/>
        <v>1.2222222222222223</v>
      </c>
      <c r="Q126" s="549" t="n">
        <v>11.0</v>
      </c>
      <c r="R126" s="470" t="n">
        <f t="shared" si="14"/>
        <v>1.2222222222222223</v>
      </c>
    </row>
    <row r="127" spans="1:18">
      <c r="A127" s="550" t="s">
        <v>62</v>
      </c>
      <c r="B127" s="551"/>
      <c r="C127" s="471"/>
      <c r="D127" s="535"/>
      <c r="E127" s="536"/>
      <c r="F127" s="537"/>
      <c r="G127" s="538"/>
      <c r="H127" s="536"/>
      <c r="I127" s="539"/>
      <c r="J127" s="540"/>
      <c r="K127" s="541"/>
      <c r="L127" s="542"/>
      <c r="M127" s="541"/>
      <c r="N127" s="542"/>
      <c r="O127" s="541"/>
      <c r="P127" s="542"/>
      <c r="Q127" s="541"/>
      <c r="R127" s="542"/>
    </row>
    <row r="128" spans="1:18">
      <c r="A128" s="19"/>
      <c r="B128" s="1053" t="s">
        <v>63</v>
      </c>
      <c r="C128" s="430" t="s">
        <v>17</v>
      </c>
      <c r="D128" s="517" t="n">
        <v>548014.725</v>
      </c>
      <c r="E128" s="450" t="n">
        <v>539000.042</v>
      </c>
      <c r="F128" s="543" t="n">
        <v>556396.5</v>
      </c>
      <c r="G128" s="518" t="n">
        <v>568945.0</v>
      </c>
      <c r="H128" s="450" t="n">
        <v>569261.0</v>
      </c>
      <c r="I128" s="519" t="n">
        <v>569261.0</v>
      </c>
      <c r="J128" s="451" t="n">
        <f t="shared" ref="J128:J137" si="20">IFERROR(SUM(G128:I128)/3/F128,"－")</f>
        <v>1.022931788152274</v>
      </c>
      <c r="K128" s="449" t="n">
        <v>568035.0</v>
      </c>
      <c r="L128" s="452" t="n">
        <f t="shared" ref="L128:L138" si="21">IFERROR(K128/F128,"－")</f>
        <v>1.020917636972914</v>
      </c>
      <c r="M128" s="449" t="n">
        <v>526375.0</v>
      </c>
      <c r="N128" s="452" t="n">
        <f t="shared" si="12"/>
        <v>0.9460429747491222</v>
      </c>
      <c r="O128" s="449" t="n">
        <v>477551.0</v>
      </c>
      <c r="P128" s="452" t="n">
        <f t="shared" si="13"/>
        <v>0.8582926024876145</v>
      </c>
      <c r="Q128" s="449" t="n">
        <v>448897.0</v>
      </c>
      <c r="R128" s="452" t="n">
        <f t="shared" si="14"/>
        <v>0.806793356895667</v>
      </c>
    </row>
    <row r="129" spans="1:18">
      <c r="A129" s="19"/>
      <c r="B129" s="1054"/>
      <c r="C129" s="430" t="s">
        <v>18</v>
      </c>
      <c r="D129" s="517" t="n">
        <v>187.83333333333334</v>
      </c>
      <c r="E129" s="450" t="n">
        <v>182.16666666666666</v>
      </c>
      <c r="F129" s="543" t="n">
        <v>185.0</v>
      </c>
      <c r="G129" s="518" t="n">
        <v>188.0</v>
      </c>
      <c r="H129" s="450" t="n">
        <v>188.0</v>
      </c>
      <c r="I129" s="519" t="n">
        <v>188.0</v>
      </c>
      <c r="J129" s="443" t="n">
        <f t="shared" si="20"/>
        <v>1.0162162162162163</v>
      </c>
      <c r="K129" s="449" t="n">
        <v>189.0</v>
      </c>
      <c r="L129" s="444" t="n">
        <f t="shared" si="21"/>
        <v>1.0216216216216216</v>
      </c>
      <c r="M129" s="449" t="n">
        <v>175.0</v>
      </c>
      <c r="N129" s="444" t="n">
        <f t="shared" si="12"/>
        <v>0.9459459459459459</v>
      </c>
      <c r="O129" s="449" t="n">
        <v>159.0</v>
      </c>
      <c r="P129" s="444" t="n">
        <f t="shared" si="13"/>
        <v>0.8594594594594595</v>
      </c>
      <c r="Q129" s="449" t="n">
        <v>150.0</v>
      </c>
      <c r="R129" s="444" t="n">
        <f t="shared" si="14"/>
        <v>0.8108108108108109</v>
      </c>
    </row>
    <row r="130" spans="1:18">
      <c r="A130" s="19"/>
      <c r="B130" s="1053" t="s">
        <v>66</v>
      </c>
      <c r="C130" s="430" t="s">
        <v>17</v>
      </c>
      <c r="D130" s="517" t="n">
        <v>334592.969</v>
      </c>
      <c r="E130" s="450" t="n">
        <v>339627.804</v>
      </c>
      <c r="F130" s="543" t="n">
        <v>361276.86</v>
      </c>
      <c r="G130" s="518" t="n">
        <v>360408.0</v>
      </c>
      <c r="H130" s="450" t="n">
        <v>360608.0</v>
      </c>
      <c r="I130" s="519" t="n">
        <v>360608.0</v>
      </c>
      <c r="J130" s="451" t="n">
        <f t="shared" si="20"/>
        <v>0.9979640913988604</v>
      </c>
      <c r="K130" s="449" t="n">
        <v>364487.0</v>
      </c>
      <c r="L130" s="452" t="n">
        <f t="shared" si="21"/>
        <v>1.0088855400260066</v>
      </c>
      <c r="M130" s="449" t="n">
        <v>335627.0</v>
      </c>
      <c r="N130" s="452" t="n">
        <f t="shared" si="12"/>
        <v>0.929002206230424</v>
      </c>
      <c r="O130" s="449" t="n">
        <v>293998.0</v>
      </c>
      <c r="P130" s="452" t="n">
        <f t="shared" si="13"/>
        <v>0.8137747875687361</v>
      </c>
      <c r="Q130" s="449" t="n">
        <v>281075.0</v>
      </c>
      <c r="R130" s="452" t="n">
        <f t="shared" si="14"/>
        <v>0.7780044368188984</v>
      </c>
    </row>
    <row r="131" spans="1:18">
      <c r="A131" s="19"/>
      <c r="B131" s="1054"/>
      <c r="C131" s="430" t="s">
        <v>18</v>
      </c>
      <c r="D131" s="517" t="n">
        <v>106.25</v>
      </c>
      <c r="E131" s="450" t="n">
        <v>106.91666666666667</v>
      </c>
      <c r="F131" s="543" t="n">
        <v>113.0</v>
      </c>
      <c r="G131" s="518" t="n">
        <v>112.0</v>
      </c>
      <c r="H131" s="450" t="n">
        <v>112.0</v>
      </c>
      <c r="I131" s="519" t="n">
        <v>112.0</v>
      </c>
      <c r="J131" s="443" t="n">
        <f t="shared" si="20"/>
        <v>0.9911504424778761</v>
      </c>
      <c r="K131" s="449" t="n">
        <v>113.0</v>
      </c>
      <c r="L131" s="444" t="n">
        <f t="shared" si="21"/>
        <v>1.0</v>
      </c>
      <c r="M131" s="449" t="n">
        <v>104.0</v>
      </c>
      <c r="N131" s="444" t="n">
        <f t="shared" ref="N131:N138" si="22">IFERROR(M131/F131,"－")</f>
        <v>0.9203539823008849</v>
      </c>
      <c r="O131" s="449" t="n">
        <v>91.0</v>
      </c>
      <c r="P131" s="444" t="n">
        <f t="shared" ref="P131:P138" si="23">IFERROR(O131/F131,"－")</f>
        <v>0.8053097345132744</v>
      </c>
      <c r="Q131" s="449" t="n">
        <v>87.0</v>
      </c>
      <c r="R131" s="444" t="n">
        <f t="shared" ref="R131:R138" si="24">IFERROR(Q131/F131,"－")</f>
        <v>0.7699115044247787</v>
      </c>
    </row>
    <row r="132" spans="1:18">
      <c r="A132" s="19"/>
      <c r="B132" s="831" t="s">
        <v>227</v>
      </c>
      <c r="C132" s="430" t="s">
        <v>229</v>
      </c>
      <c r="D132" s="517" t="n">
        <v>21430.584</v>
      </c>
      <c r="E132" s="450" t="n">
        <v>36194.302</v>
      </c>
      <c r="F132" s="543" t="n">
        <v>188021.184</v>
      </c>
      <c r="G132" s="518" t="n">
        <v>250011.0</v>
      </c>
      <c r="H132" s="450" t="n">
        <v>250150.0</v>
      </c>
      <c r="I132" s="519" t="n">
        <v>250150.0</v>
      </c>
      <c r="J132" s="443" t="n">
        <f t="shared" si="20"/>
        <v>1.330188765680077</v>
      </c>
      <c r="K132" s="449" t="n">
        <v>261433.0</v>
      </c>
      <c r="L132" s="444" t="n">
        <f t="shared" si="21"/>
        <v>1.3904443873728611</v>
      </c>
      <c r="M132" s="449" t="n">
        <v>221472.0</v>
      </c>
      <c r="N132" s="444" t="n">
        <f t="shared" si="22"/>
        <v>1.177909825309897</v>
      </c>
      <c r="O132" s="449" t="n">
        <v>192893.0</v>
      </c>
      <c r="P132" s="444" t="n">
        <f t="shared" si="23"/>
        <v>1.0259109952206236</v>
      </c>
      <c r="Q132" s="449" t="n">
        <v>178440.0</v>
      </c>
      <c r="R132" s="444" t="n">
        <f t="shared" si="24"/>
        <v>0.9490419973102605</v>
      </c>
    </row>
    <row r="133" spans="1:18">
      <c r="A133" s="19"/>
      <c r="B133" s="831"/>
      <c r="C133" s="430" t="s">
        <v>230</v>
      </c>
      <c r="D133" s="517" t="n">
        <v>5.25</v>
      </c>
      <c r="E133" s="450" t="n">
        <v>8.75</v>
      </c>
      <c r="F133" s="543" t="n">
        <v>40.0</v>
      </c>
      <c r="G133" s="518" t="n">
        <v>53.0</v>
      </c>
      <c r="H133" s="450" t="n">
        <v>53.0</v>
      </c>
      <c r="I133" s="519" t="n">
        <v>53.0</v>
      </c>
      <c r="J133" s="443" t="n">
        <f t="shared" si="20"/>
        <v>1.325</v>
      </c>
      <c r="K133" s="449" t="n">
        <v>55.0</v>
      </c>
      <c r="L133" s="444" t="n">
        <f t="shared" si="21"/>
        <v>1.375</v>
      </c>
      <c r="M133" s="449" t="n">
        <v>47.0</v>
      </c>
      <c r="N133" s="444" t="n">
        <f t="shared" si="22"/>
        <v>1.175</v>
      </c>
      <c r="O133" s="449" t="n">
        <v>41.0</v>
      </c>
      <c r="P133" s="444" t="n">
        <f t="shared" si="23"/>
        <v>1.025</v>
      </c>
      <c r="Q133" s="449" t="n">
        <v>38.0</v>
      </c>
      <c r="R133" s="444" t="n">
        <f t="shared" si="24"/>
        <v>0.95</v>
      </c>
    </row>
    <row r="134" spans="1:18">
      <c r="A134" s="19"/>
      <c r="B134" s="1053" t="s">
        <v>228</v>
      </c>
      <c r="C134" s="430" t="s">
        <v>17</v>
      </c>
      <c r="D134" s="517" t="n">
        <v>164163.902</v>
      </c>
      <c r="E134" s="450" t="n">
        <v>157852.679</v>
      </c>
      <c r="F134" s="543" t="n">
        <v>30653.46</v>
      </c>
      <c r="G134" s="518" t="n">
        <v>0.0</v>
      </c>
      <c r="H134" s="450" t="n">
        <v>0.0</v>
      </c>
      <c r="I134" s="519" t="n">
        <v>0.0</v>
      </c>
      <c r="J134" s="451" t="n">
        <f t="shared" si="20"/>
        <v>0.0</v>
      </c>
      <c r="K134" s="552"/>
      <c r="L134" s="553"/>
      <c r="M134" s="552"/>
      <c r="N134" s="553"/>
      <c r="O134" s="552"/>
      <c r="P134" s="553"/>
      <c r="Q134" s="552"/>
      <c r="R134" s="553"/>
    </row>
    <row r="135" spans="1:18" ht="14.25" thickBot="1">
      <c r="A135" s="25"/>
      <c r="B135" s="1056"/>
      <c r="C135" s="491" t="s">
        <v>18</v>
      </c>
      <c r="D135" s="554" t="n">
        <v>39.833333333333336</v>
      </c>
      <c r="E135" s="547" t="n">
        <v>38.166666666666664</v>
      </c>
      <c r="F135" s="555" t="n">
        <v>7.0</v>
      </c>
      <c r="G135" s="556" t="n">
        <v>0.0</v>
      </c>
      <c r="H135" s="532" t="n">
        <v>0.0</v>
      </c>
      <c r="I135" s="533" t="n">
        <v>0.0</v>
      </c>
      <c r="J135" s="496" t="n">
        <f t="shared" si="20"/>
        <v>0.0</v>
      </c>
      <c r="K135" s="557"/>
      <c r="L135" s="558"/>
      <c r="M135" s="557"/>
      <c r="N135" s="558"/>
      <c r="O135" s="557"/>
      <c r="P135" s="558"/>
      <c r="Q135" s="557"/>
      <c r="R135" s="558"/>
    </row>
    <row r="136" spans="1:18">
      <c r="A136" s="24" t="s">
        <v>67</v>
      </c>
      <c r="B136" s="559"/>
      <c r="C136" s="560" t="s">
        <v>17</v>
      </c>
      <c r="D136" s="561" t="n">
        <v>103742.219</v>
      </c>
      <c r="E136" s="487" t="n">
        <v>101633.101</v>
      </c>
      <c r="F136" s="562" t="n">
        <v>107043.348</v>
      </c>
      <c r="G136" s="563" t="n">
        <v>109450.0</v>
      </c>
      <c r="H136" s="487" t="n">
        <v>112125.0</v>
      </c>
      <c r="I136" s="564" t="n">
        <v>113988.0</v>
      </c>
      <c r="J136" s="488" t="n">
        <f t="shared" si="20"/>
        <v>1.0449442718601565</v>
      </c>
      <c r="K136" s="486" t="n">
        <v>103773.0</v>
      </c>
      <c r="L136" s="489" t="n">
        <f t="shared" si="21"/>
        <v>0.9694483771191462</v>
      </c>
      <c r="M136" s="486" t="n">
        <v>100601.0</v>
      </c>
      <c r="N136" s="489" t="n">
        <f t="shared" si="22"/>
        <v>0.9398155222125526</v>
      </c>
      <c r="O136" s="486" t="n">
        <v>96986.0</v>
      </c>
      <c r="P136" s="489" t="n">
        <f t="shared" si="23"/>
        <v>0.9060441569895591</v>
      </c>
      <c r="Q136" s="486" t="n">
        <v>87911.0</v>
      </c>
      <c r="R136" s="489" t="n">
        <f t="shared" si="24"/>
        <v>0.8212654185666913</v>
      </c>
    </row>
    <row r="137" spans="1:18" ht="14.25" thickBot="1">
      <c r="A137" s="21"/>
      <c r="B137" s="490"/>
      <c r="C137" s="491" t="s">
        <v>18</v>
      </c>
      <c r="D137" s="565" t="n">
        <v>486.9166666666667</v>
      </c>
      <c r="E137" s="532" t="n">
        <v>480.1666666666667</v>
      </c>
      <c r="F137" s="566" t="n">
        <v>513.0</v>
      </c>
      <c r="G137" s="556" t="n">
        <v>521.0</v>
      </c>
      <c r="H137" s="532" t="n">
        <v>533.0</v>
      </c>
      <c r="I137" s="533" t="n">
        <v>540.0</v>
      </c>
      <c r="J137" s="496" t="n">
        <f t="shared" si="20"/>
        <v>1.0357374918778428</v>
      </c>
      <c r="K137" s="531" t="n">
        <v>497.0</v>
      </c>
      <c r="L137" s="497" t="n">
        <f t="shared" si="21"/>
        <v>0.9688109161793372</v>
      </c>
      <c r="M137" s="531" t="n">
        <v>482.0</v>
      </c>
      <c r="N137" s="497" t="n">
        <f t="shared" si="22"/>
        <v>0.9395711500974658</v>
      </c>
      <c r="O137" s="531" t="n">
        <v>464.0</v>
      </c>
      <c r="P137" s="497" t="n">
        <f t="shared" si="23"/>
        <v>0.9044834307992202</v>
      </c>
      <c r="Q137" s="531" t="n">
        <v>419.0</v>
      </c>
      <c r="R137" s="497" t="n">
        <f t="shared" si="24"/>
        <v>0.8167641325536062</v>
      </c>
    </row>
    <row r="138" spans="1:18" ht="14.25" thickBot="1">
      <c r="A138" s="498" t="s">
        <v>37</v>
      </c>
      <c r="B138" s="416"/>
      <c r="C138" s="499" t="s">
        <v>17</v>
      </c>
      <c r="D138" s="500" t="n">
        <f t="shared" ref="D138:I138" si="25">IF(ISERROR(SUM(D66,D69,D72,D75,D78,D80,D83,D86,D89,D92,D95,D98,D100,D102,D104,D107,D109,D114,D117,D119,D121,D123,D125,D111,D128,D130,D132,D134,D136)),0,(SUM(D66,D69,D72,D75,D78,D80,D83,D86,D89,D92,D95,D98,D100,D102,D104,D107,D109,D114,D117,D119,D121,D123,D125,D111,D128,D130,D132,D134,D136)))</f>
        <v>2279688.6089999997</v>
      </c>
      <c r="E138" s="501" t="n">
        <f t="shared" si="25"/>
        <v>2261130.9339999994</v>
      </c>
      <c r="F138" s="502" t="n">
        <f t="shared" si="25"/>
        <v>2460910.7304</v>
      </c>
      <c r="G138" s="503" t="n">
        <f t="shared" si="25"/>
        <v>2511571.0</v>
      </c>
      <c r="H138" s="501" t="n">
        <f t="shared" si="25"/>
        <v>2520522.0</v>
      </c>
      <c r="I138" s="501" t="n">
        <f t="shared" si="25"/>
        <v>2534234.0</v>
      </c>
      <c r="J138" s="504" t="n">
        <f t="shared" ref="J138" si="26">IFERROR(SUM(G138:I138)/3/F138,"－")</f>
        <v>1.024868138792687</v>
      </c>
      <c r="K138" s="503" t="n">
        <f>IF(ISERROR(SUM(K66,K69,K72,K75,K78,K80,K83,K86,K89,K92,K95,K98,K100,K102,K104,K107,K109,K114,K117,K119,K121,K123,K125,K111,K128,K130,K132,K136)),0,(SUM(K66,K69,K72,K75,K78,K80,K83,K86,K89,K92,K95,K98,K100,K102,K104,K107,K109,K114,K117,K119,K121,K123,K125,K111,K128,K130,K132,K136)))</f>
        <v>2551089.0</v>
      </c>
      <c r="L138" s="505" t="n">
        <f t="shared" si="21"/>
        <v>1.0366442668911207</v>
      </c>
      <c r="M138" s="503" t="n">
        <f>IF(ISERROR(SUM(M66,M69,M72,M75,M78,M80,M83,M86,M89,M92,M95,M98,M100,M102,M104,M107,M109,M114,M117,M119,M121,M123,M125,M111,M128,M130,M132,M136)),0,(SUM(M66,M69,M72,M75,M78,M80,M83,M86,M89,M92,M95,M98,M100,M102,M104,M107,M109,M114,M117,M119,M121,M123,M125,M111,M128,M130,M132,M136)))</f>
        <v>2309466.0</v>
      </c>
      <c r="N138" s="505" t="n">
        <f t="shared" si="22"/>
        <v>0.9384598845747714</v>
      </c>
      <c r="O138" s="503" t="n">
        <f>IF(ISERROR(SUM(O66,O69,O72,O75,O78,O80,O83,O86,O89,O92,O95,O98,O100,O102,O104,O107,O109,O114,O117,O119,O121,O123,O125,O111,O128,O130,O132,O136)),0,(SUM(O66,O69,O72,O75,O78,O80,O83,O86,O89,O92,O95,O98,O100,O102,O104,O107,O109,O114,O117,O119,O121,O123,O125,O111,O128,O130,O132,O136)))</f>
        <v>2113448.0</v>
      </c>
      <c r="P138" s="505" t="n">
        <f t="shared" si="23"/>
        <v>0.8588072593988313</v>
      </c>
      <c r="Q138" s="503" t="n">
        <f>IF(ISERROR(SUM(Q66,Q69,Q72,Q75,Q78,Q80,Q83,Q86,Q89,Q92,Q95,Q98,Q100,Q102,Q104,Q107,Q109,Q114,Q117,Q119,Q121,Q123,Q125,Q111,Q128,Q130,Q132,Q136)),0,(SUM(Q66,Q69,Q72,Q75,Q78,Q80,Q83,Q86,Q89,Q92,Q95,Q98,Q100,Q102,Q104,Q107,Q109,Q114,Q117,Q119,Q121,Q123,Q125,Q111,Q128,Q130,Q132,Q136)))</f>
        <v>1994895.0</v>
      </c>
      <c r="R138" s="505" t="n">
        <f t="shared" si="24"/>
        <v>0.8106328179062989</v>
      </c>
    </row>
    <row r="139" spans="1:18" ht="50.1" customHeight="1">
      <c r="A139" s="805" t="s">
        <v>112</v>
      </c>
      <c r="G139" s="804" t="s">
        <v>280</v>
      </c>
      <c r="H139" s="509"/>
      <c r="I139" s="509"/>
      <c r="J139" s="509"/>
      <c r="K139" s="704" t="s">
        <v>413</v>
      </c>
      <c r="L139" s="704"/>
      <c r="M139" s="704"/>
    </row>
    <row r="140" spans="1:18" ht="13.5" customHeight="1">
      <c r="G140" s="567"/>
      <c r="H140" s="568"/>
      <c r="I140" s="568"/>
      <c r="J140" s="568"/>
      <c r="K140" s="704"/>
      <c r="L140" s="704"/>
      <c r="M140" s="704"/>
    </row>
    <row r="141" spans="1:18">
      <c r="A141" s="22" t="s">
        <v>226</v>
      </c>
      <c r="D141" s="569"/>
      <c r="G141" s="508"/>
      <c r="H141" s="508"/>
      <c r="I141" s="508"/>
      <c r="J141" s="508"/>
      <c r="K141" s="704"/>
      <c r="L141" s="704"/>
      <c r="M141" s="704"/>
    </row>
    <row r="142" spans="1:18" ht="14.25" thickBot="1">
      <c r="A142" s="22"/>
    </row>
    <row r="143" spans="1:18" ht="14.25" thickBot="1">
      <c r="A143" s="30"/>
      <c r="B143" s="416"/>
      <c r="C143" s="417"/>
      <c r="D143" s="418" t="s">
        <v>68</v>
      </c>
      <c r="E143" s="828" t="s">
        <v>257</v>
      </c>
      <c r="F143" s="419" t="s">
        <v>258</v>
      </c>
      <c r="G143" s="827" t="s">
        <v>259</v>
      </c>
      <c r="H143" s="828" t="s">
        <v>260</v>
      </c>
      <c r="I143" s="829" t="s">
        <v>261</v>
      </c>
      <c r="J143" s="570" t="s">
        <v>262</v>
      </c>
      <c r="K143" s="570" t="s">
        <v>320</v>
      </c>
      <c r="L143" s="570" t="s">
        <v>321</v>
      </c>
      <c r="M143" s="570" t="s">
        <v>322</v>
      </c>
    </row>
    <row r="144" spans="1:18">
      <c r="A144" s="571" t="s">
        <v>37</v>
      </c>
      <c r="B144" s="572"/>
      <c r="C144" s="573"/>
      <c r="D144" s="574" t="n">
        <f t="shared" ref="D144:I144" si="27">D59+D138</f>
        <v>2316785.5069999998</v>
      </c>
      <c r="E144" s="575" t="n">
        <f t="shared" si="27"/>
        <v>2302681.6489999993</v>
      </c>
      <c r="F144" s="576" t="n">
        <f t="shared" si="27"/>
        <v>2513023.3307999996</v>
      </c>
      <c r="G144" s="577" t="n">
        <f t="shared" si="27"/>
        <v>2564467.0</v>
      </c>
      <c r="H144" s="575" t="n">
        <f t="shared" si="27"/>
        <v>2574526.0</v>
      </c>
      <c r="I144" s="576" t="n">
        <f t="shared" si="27"/>
        <v>2587936.0</v>
      </c>
      <c r="J144" s="578" t="n">
        <f>K59+K138</f>
        <v>2599486.0</v>
      </c>
      <c r="K144" s="578" t="n">
        <f>M59+M138</f>
        <v>2354505.0</v>
      </c>
      <c r="L144" s="578" t="n">
        <f>O59+O138</f>
        <v>2154963.0</v>
      </c>
      <c r="M144" s="578" t="n">
        <f>Q59+Q138</f>
        <v>2033596.0</v>
      </c>
    </row>
    <row r="145" spans="1:13">
      <c r="A145" s="579"/>
      <c r="B145" s="580" t="s">
        <v>147</v>
      </c>
      <c r="C145" s="581"/>
      <c r="D145" s="582" t="n">
        <f>D12+D14+D17+D20+D23+D25+D27+D29+D32+D35+D38+D41+D43+D45+D50+D53+D57+D66+D69+D72+D75+D78+D80+D83+D86+D89+D92+D95+D98+D100+D102+D107+D109+D114+D117+D125+D111+D136</f>
        <v>892638.5939999998</v>
      </c>
      <c r="E145" s="583" t="n">
        <f>E12+E14+E17+E20+E23+E25+E27+E29+E32+E35+E38+E41+E43+E45+E50+E53+E57+E66+E69+E72+E75+E78+E80+E83+E86+E89+E92+E95+E98+E100+E102+E107+E109+E114+E117+E125+E111+E136</f>
        <v>874303.536</v>
      </c>
      <c r="F145" s="583" t="n">
        <f>F12+F14+F17+F20+F23+F25+F27+F29+F32+F35+F38+F41+F43+F45+F50+F53+F57+F66+F69+F72+F75+F78+F80+F83+F86+F89+F92+F95+F98+F100+F102+F107+F109+F114+F117+F125+F111+F136</f>
        <v>997050.4548000001</v>
      </c>
      <c r="G145" s="582" t="n">
        <f>G14+G17+G20+G23+G27+G29+G32+G35+G38+G41+G43+G45+G50+G53+G57+G66+G69+G72+G75+G78+G80+G83+G86+G89+G92+G95+G98+G100+G102+G107+G109+G114+G117+G125+G111+G136</f>
        <v>1007990.0</v>
      </c>
      <c r="H145" s="583" t="n">
        <f>H14+H17+H20+H23+H27+H29+H32+H35+H38+H41+H43+H45+H50+H53+H57+H66+H69+H72+H75+H78+H80+H83+H86+H89+H92+H95+H98+H100+H102+H107+H109+H114+H117+H125+H111+H136</f>
        <v>1020703.0</v>
      </c>
      <c r="I145" s="584" t="n">
        <f>I14+I17+I20+I23+I27+I29+I32+I35+I38+I41+I43+I45+I50+I53+I57+I66+I69+I72+I75+I78+I80+I83+I86+I89+I92+I95+I98+I100+I102+I107+I109+I114+I117+I125+I111+I136</f>
        <v>1030986.0</v>
      </c>
      <c r="J145" s="585" t="n">
        <f>K14+K17+K20+K23+K27+K29+K32+K35+K38+K41+K43+K45+K50+K53+K57+K66+K69+K72+K75+K78+K80+K83+K86+K89+K92+K95+K98+K100+K102+K107+K109+K114+K117+K125+K111+K136</f>
        <v>1037189.0</v>
      </c>
      <c r="K145" s="585" t="n">
        <f>M14+M17+M20+M23+M27+M29+M32+M35+M38+M41+M43+M45+M50+M53+M57+M66+M69+M72+M75+M78+M80+M83+M86+M89+M92+M95+M98+M100+M102+M107+M109+M114+M117+M125+M111+M136</f>
        <v>948226.0</v>
      </c>
      <c r="L145" s="585" t="n">
        <f>O14+O17+O20+O23+O27+O29+O32+O35+O38+O41+O43+O45+O50+O53+O57+O66+O69+O72+O75+O78+O80+O83+O86+O89+O92+O95+O98+O100+O102+O107+O109+O114+O117+O125+O111+O136</f>
        <v>889889.0</v>
      </c>
      <c r="M145" s="585" t="n">
        <f>Q14+Q17+Q20+Q23+Q27+Q29+Q32+Q35+Q38+Q41+Q43+Q45+Q50+Q53+Q57+Q66+Q69+Q72+Q75+Q78+Q80+Q83+Q86+Q89+Q92+Q95+Q98+Q100+Q102+Q107+Q109+Q114+Q117+Q125+Q111+Q136</f>
        <v>824552.0</v>
      </c>
    </row>
    <row r="146" spans="1:13">
      <c r="A146" s="579"/>
      <c r="B146" s="580" t="s">
        <v>148</v>
      </c>
      <c r="C146" s="581"/>
      <c r="D146" s="586" t="n">
        <f t="shared" ref="D146:I146" si="28">D47+D55+D104+D119+D121</f>
        <v>291002.637</v>
      </c>
      <c r="E146" s="583" t="n">
        <f t="shared" si="28"/>
        <v>291492.155</v>
      </c>
      <c r="F146" s="587" t="n">
        <f t="shared" si="28"/>
        <v>307147.88399999996</v>
      </c>
      <c r="G146" s="586" t="n">
        <f t="shared" si="28"/>
        <v>307313.0</v>
      </c>
      <c r="H146" s="583" t="n">
        <f t="shared" si="28"/>
        <v>303965.0</v>
      </c>
      <c r="I146" s="587" t="n">
        <f t="shared" si="28"/>
        <v>307092.0</v>
      </c>
      <c r="J146" s="585" t="n">
        <f>K47+K55+K104+K119+K121</f>
        <v>301626.0</v>
      </c>
      <c r="K146" s="585" t="n">
        <f>M47+M55+M104+M119+M121</f>
        <v>259574.0</v>
      </c>
      <c r="L146" s="585" t="n">
        <f>O47+O55+O104+O119+O121</f>
        <v>241063.0</v>
      </c>
      <c r="M146" s="585" t="n">
        <f>Q47+Q55+Q104+Q119+Q121</f>
        <v>241063.0</v>
      </c>
    </row>
    <row r="147" spans="1:13" ht="14.25" thickBot="1">
      <c r="A147" s="588"/>
      <c r="B147" s="589" t="s">
        <v>149</v>
      </c>
      <c r="C147" s="590"/>
      <c r="D147" s="591" t="n">
        <f t="shared" ref="D147:I147" si="29">D123+D128+D130+D132+D134</f>
        <v>1133144.276</v>
      </c>
      <c r="E147" s="592" t="n">
        <f t="shared" si="29"/>
        <v>1136885.958</v>
      </c>
      <c r="F147" s="593" t="n">
        <f t="shared" si="29"/>
        <v>1208824.992</v>
      </c>
      <c r="G147" s="591" t="n">
        <f t="shared" si="29"/>
        <v>1249164.0</v>
      </c>
      <c r="H147" s="592" t="n">
        <f t="shared" si="29"/>
        <v>1249858.0</v>
      </c>
      <c r="I147" s="593" t="n">
        <f t="shared" si="29"/>
        <v>1249858.0</v>
      </c>
      <c r="J147" s="594" t="n">
        <f>K123+K128+K130+K132</f>
        <v>1260671.0</v>
      </c>
      <c r="K147" s="594" t="n">
        <f>M123+M128+M130+M132</f>
        <v>1146705.0</v>
      </c>
      <c r="L147" s="594" t="n">
        <f>O123+O128+O130+O132</f>
        <v>1024011.0</v>
      </c>
      <c r="M147" s="594" t="n">
        <f>Q123+Q128+Q130+Q132</f>
        <v>967981.0</v>
      </c>
    </row>
    <row r="149" spans="1:13" ht="14.25" thickBot="1">
      <c r="A149" s="22" t="s">
        <v>231</v>
      </c>
    </row>
    <row r="150" spans="1:13" ht="14.25" thickBot="1">
      <c r="A150" s="1015"/>
      <c r="B150" s="1016"/>
      <c r="C150" s="1017"/>
      <c r="D150" s="418" t="s">
        <v>68</v>
      </c>
      <c r="E150" s="828" t="s">
        <v>257</v>
      </c>
      <c r="F150" s="419" t="s">
        <v>258</v>
      </c>
      <c r="G150" s="827" t="s">
        <v>259</v>
      </c>
      <c r="H150" s="828" t="s">
        <v>260</v>
      </c>
      <c r="I150" s="829" t="s">
        <v>261</v>
      </c>
      <c r="J150" s="570" t="s">
        <v>262</v>
      </c>
      <c r="K150" s="570" t="s">
        <v>320</v>
      </c>
      <c r="L150" s="570" t="s">
        <v>321</v>
      </c>
      <c r="M150" s="570" t="s">
        <v>322</v>
      </c>
    </row>
    <row r="151" spans="1:13">
      <c r="A151" s="13" t="s">
        <v>2</v>
      </c>
      <c r="B151" s="3"/>
      <c r="C151" s="150"/>
      <c r="D151" s="151" t="n">
        <f>D129+D131+D133+D135</f>
        <v>339.1666666666667</v>
      </c>
      <c r="E151" s="152" t="n">
        <f>E129+E131+E133+E135</f>
        <v>336.0</v>
      </c>
      <c r="F151" s="153" t="n">
        <f>F129+F131+F133+F135</f>
        <v>345.0</v>
      </c>
      <c r="G151" s="151" t="n">
        <f>G129+G131+G133+G135</f>
        <v>353.0</v>
      </c>
      <c r="H151" s="153" t="n">
        <f>H129+H131+H133+H135</f>
        <v>353.0</v>
      </c>
      <c r="I151" s="153" t="n">
        <f t="shared" ref="I151" si="30">I129+I131+I133+I135</f>
        <v>353.0</v>
      </c>
      <c r="J151" s="158" t="n">
        <f>K129+K131+K133</f>
        <v>357.0</v>
      </c>
      <c r="K151" s="158" t="n">
        <f>M129+M131+M133</f>
        <v>326.0</v>
      </c>
      <c r="L151" s="158" t="n">
        <f>O129+O131+O133</f>
        <v>291.0</v>
      </c>
      <c r="M151" s="158" t="n">
        <f>Q129+Q131+Q133</f>
        <v>275.0</v>
      </c>
    </row>
    <row r="152" spans="1:13">
      <c r="A152" s="5"/>
      <c r="B152" s="154" t="s">
        <v>232</v>
      </c>
      <c r="C152" s="595"/>
      <c r="D152" s="48" t="n">
        <v>217.25</v>
      </c>
      <c r="E152" s="155" t="n">
        <v>219.5</v>
      </c>
      <c r="F152" s="192" t="n">
        <v>222.0</v>
      </c>
      <c r="G152" s="48" t="n">
        <v>227.0</v>
      </c>
      <c r="H152" s="192" t="n">
        <v>227.0</v>
      </c>
      <c r="I152" s="192" t="n">
        <v>227.0</v>
      </c>
      <c r="J152" s="159" t="n">
        <v>228.0</v>
      </c>
      <c r="K152" s="159" t="n">
        <v>212.0</v>
      </c>
      <c r="L152" s="159" t="n">
        <v>194.0</v>
      </c>
      <c r="M152" s="159" t="n">
        <v>177.0</v>
      </c>
    </row>
    <row r="153" spans="1:13" ht="14.25" thickBot="1">
      <c r="A153" s="156"/>
      <c r="B153" s="157" t="s">
        <v>233</v>
      </c>
      <c r="C153" s="596"/>
      <c r="D153" s="813" t="n">
        <f>IFERROR(ROUND(D152/D151*100,1),"－")</f>
        <v>64.1</v>
      </c>
      <c r="E153" s="814" t="n">
        <f t="shared" ref="E153:J153" si="31">IFERROR(ROUND(E152/E151*100,1),"－")</f>
        <v>65.3</v>
      </c>
      <c r="F153" s="815" t="n">
        <f t="shared" si="31"/>
        <v>64.3</v>
      </c>
      <c r="G153" s="813" t="n">
        <f t="shared" si="31"/>
        <v>64.3</v>
      </c>
      <c r="H153" s="815" t="n">
        <f t="shared" si="31"/>
        <v>64.3</v>
      </c>
      <c r="I153" s="815" t="n">
        <f t="shared" si="31"/>
        <v>64.3</v>
      </c>
      <c r="J153" s="816" t="n">
        <f t="shared" si="31"/>
        <v>63.9</v>
      </c>
      <c r="K153" s="816" t="n">
        <f t="shared" ref="K153:M153" si="32">IFERROR(ROUND(K152/K151*100,1),"－")</f>
        <v>65.0</v>
      </c>
      <c r="L153" s="816" t="n">
        <f t="shared" si="32"/>
        <v>66.7</v>
      </c>
      <c r="M153" s="816" t="n">
        <f t="shared" si="32"/>
        <v>64.4</v>
      </c>
    </row>
    <row r="156" spans="1:13" ht="14.25" thickBot="1">
      <c r="A156" s="414" t="s">
        <v>400</v>
      </c>
    </row>
    <row r="157" spans="1:13" ht="14.25" thickBot="1">
      <c r="A157" s="1022"/>
      <c r="B157" s="1023"/>
      <c r="C157" s="1024"/>
      <c r="D157" s="1028" t="s">
        <v>401</v>
      </c>
      <c r="E157" s="1029"/>
      <c r="F157" s="1029"/>
      <c r="G157" s="1029"/>
      <c r="H157" s="1029"/>
      <c r="I157" s="1030"/>
      <c r="J157" s="1031" t="s">
        <v>402</v>
      </c>
      <c r="K157" s="1032"/>
      <c r="L157" s="1032"/>
      <c r="M157" s="1033"/>
    </row>
    <row r="158" spans="1:13" ht="63.75" thickBot="1">
      <c r="A158" s="1025"/>
      <c r="B158" s="1026"/>
      <c r="C158" s="1027"/>
      <c r="D158" s="847" t="s">
        <v>68</v>
      </c>
      <c r="E158" s="848" t="s">
        <v>257</v>
      </c>
      <c r="F158" s="849" t="s">
        <v>258</v>
      </c>
      <c r="G158" s="850" t="s">
        <v>259</v>
      </c>
      <c r="H158" s="848" t="s">
        <v>260</v>
      </c>
      <c r="I158" s="851" t="s">
        <v>261</v>
      </c>
      <c r="J158" s="852" t="s">
        <v>414</v>
      </c>
      <c r="K158" s="853" t="s">
        <v>403</v>
      </c>
      <c r="L158" s="854" t="s">
        <v>404</v>
      </c>
      <c r="M158" s="855" t="s">
        <v>405</v>
      </c>
    </row>
    <row r="159" spans="1:13" ht="14.25" thickBot="1">
      <c r="A159" s="1034" t="s">
        <v>406</v>
      </c>
      <c r="B159" s="1035"/>
      <c r="C159" s="1036"/>
      <c r="D159" s="856" t="n">
        <f>D48+D54+D56+D105+D108+D118+D120+D122+D124+D126+D129+D131+D133+D135</f>
        <v>479.8333333333333</v>
      </c>
      <c r="E159" s="857" t="n">
        <f t="shared" ref="E159:I159" si="33">E48+E54+E56+E105+E108+E118+E120+E122+E124+E126+E129+E131+E133+E135</f>
        <v>474.41666666666674</v>
      </c>
      <c r="F159" s="858" t="n">
        <f t="shared" si="33"/>
        <v>486.0</v>
      </c>
      <c r="G159" s="859" t="n">
        <f t="shared" si="33"/>
        <v>496.0</v>
      </c>
      <c r="H159" s="857" t="n">
        <f t="shared" si="33"/>
        <v>496.0</v>
      </c>
      <c r="I159" s="857" t="n">
        <f t="shared" si="33"/>
        <v>497.0</v>
      </c>
      <c r="J159" s="860" t="n">
        <v>1.015994437</v>
      </c>
      <c r="K159" s="861" t="n">
        <f>ROUND(G159*$J159,0)</f>
        <v>504.0</v>
      </c>
      <c r="L159" s="862" t="n">
        <f t="shared" ref="L159:M159" si="34">ROUND(H159*$J159,0)</f>
        <v>504.0</v>
      </c>
      <c r="M159" s="863" t="n">
        <f t="shared" si="34"/>
        <v>505.0</v>
      </c>
    </row>
    <row r="160" spans="1:13" ht="27" customHeight="1">
      <c r="A160" s="1037" t="s">
        <v>407</v>
      </c>
      <c r="B160" s="1037"/>
      <c r="C160" s="1037"/>
      <c r="D160" s="1037"/>
      <c r="E160" s="1037"/>
      <c r="F160" s="1037"/>
      <c r="G160" s="1037"/>
      <c r="H160" s="1037"/>
      <c r="I160" s="1037"/>
      <c r="J160" s="1037"/>
      <c r="K160" s="1037"/>
      <c r="L160" s="1037"/>
      <c r="M160" s="1037"/>
    </row>
    <row r="161" spans="1:13">
      <c r="A161" s="805" t="s">
        <v>408</v>
      </c>
      <c r="B161" s="805"/>
      <c r="C161" s="805"/>
      <c r="D161" s="805"/>
      <c r="E161" s="805"/>
      <c r="F161" s="805"/>
      <c r="G161" s="805"/>
      <c r="H161" s="805"/>
      <c r="I161" s="805"/>
      <c r="J161" s="805"/>
      <c r="K161" s="805"/>
      <c r="L161" s="805"/>
      <c r="M161" s="805"/>
    </row>
    <row r="162" spans="1:13">
      <c r="A162" s="805" t="s">
        <v>409</v>
      </c>
      <c r="B162" s="805"/>
      <c r="C162" s="805"/>
      <c r="D162" s="805"/>
      <c r="E162" s="805"/>
      <c r="F162" s="805"/>
      <c r="G162" s="805"/>
      <c r="H162" s="805"/>
      <c r="I162" s="805"/>
      <c r="J162" s="805"/>
      <c r="K162" s="805"/>
      <c r="L162" s="805"/>
      <c r="M162" s="805"/>
    </row>
  </sheetData>
  <mergeCells count="56">
    <mergeCell ref="B121:B122"/>
    <mergeCell ref="B20:B21"/>
    <mergeCell ref="B23:B24"/>
    <mergeCell ref="B134:B135"/>
    <mergeCell ref="B123:B124"/>
    <mergeCell ref="B125:B126"/>
    <mergeCell ref="B111:B112"/>
    <mergeCell ref="B104:B105"/>
    <mergeCell ref="B107:B108"/>
    <mergeCell ref="B109:B110"/>
    <mergeCell ref="B114:B115"/>
    <mergeCell ref="B117:B118"/>
    <mergeCell ref="B119:B120"/>
    <mergeCell ref="B92:B93"/>
    <mergeCell ref="B98:B99"/>
    <mergeCell ref="B100:B101"/>
    <mergeCell ref="B12:B13"/>
    <mergeCell ref="B14:B15"/>
    <mergeCell ref="B17:B18"/>
    <mergeCell ref="A150:C150"/>
    <mergeCell ref="B128:B129"/>
    <mergeCell ref="B130:B131"/>
    <mergeCell ref="B35:B36"/>
    <mergeCell ref="B41:B42"/>
    <mergeCell ref="B102:B103"/>
    <mergeCell ref="B83:B84"/>
    <mergeCell ref="B47:B48"/>
    <mergeCell ref="B50:B51"/>
    <mergeCell ref="B53:B54"/>
    <mergeCell ref="B55:B56"/>
    <mergeCell ref="B69:B70"/>
    <mergeCell ref="B72:B73"/>
    <mergeCell ref="B25:B26"/>
    <mergeCell ref="B27:B28"/>
    <mergeCell ref="B29:B30"/>
    <mergeCell ref="B32:B33"/>
    <mergeCell ref="B38:B39"/>
    <mergeCell ref="B95:B96"/>
    <mergeCell ref="B66:B67"/>
    <mergeCell ref="B86:B87"/>
    <mergeCell ref="B89:B90"/>
    <mergeCell ref="B43:B44"/>
    <mergeCell ref="B75:B76"/>
    <mergeCell ref="B78:B79"/>
    <mergeCell ref="B80:B81"/>
    <mergeCell ref="Q3:R3"/>
    <mergeCell ref="O4:P4"/>
    <mergeCell ref="Q4:R4"/>
    <mergeCell ref="O5:P5"/>
    <mergeCell ref="Q5:R5"/>
    <mergeCell ref="O3:P3"/>
    <mergeCell ref="A157:C158"/>
    <mergeCell ref="D157:I157"/>
    <mergeCell ref="J157:M157"/>
    <mergeCell ref="A159:C159"/>
    <mergeCell ref="A160:M160"/>
  </mergeCells>
  <phoneticPr fontId="3"/>
  <dataValidations count="1">
    <dataValidation type="whole" allowBlank="1" showErrorMessage="1" error="施設サービス利用者数の総数以下の数値を入力してください。" sqref="D152:M152">
      <formula1>0</formula1>
      <formula2>D151</formula2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&amp;C&amp;P</oddFooter>
  </headerFooter>
  <rowBreaks count="2" manualBreakCount="2">
    <brk id="61" max="16383" man="1"/>
    <brk id="126" max="18" man="1"/>
  </rowBreaks>
  <colBreaks count="1" manualBreakCount="1">
    <brk id="14" max="1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="85" zoomScaleNormal="85" zoomScaleSheetLayoutView="85" workbookViewId="0">
      <selection activeCell="L1" sqref="L1"/>
    </sheetView>
  </sheetViews>
  <sheetFormatPr defaultRowHeight="13.5"/>
  <cols>
    <col min="1" max="1" bestFit="true" customWidth="true" style="864" width="56.625" collapsed="false"/>
    <col min="2" max="11" customWidth="true" style="864" width="17.375" collapsed="false"/>
    <col min="12" max="16384" style="864" width="9.0" collapsed="false"/>
  </cols>
  <sheetData>
    <row r="1" spans="1:11" ht="14.25" customHeight="1">
      <c r="A1" s="802" t="s">
        <v>390</v>
      </c>
      <c r="B1" s="802"/>
      <c r="C1" s="802"/>
      <c r="D1" s="802"/>
    </row>
    <row r="2" spans="1:11" ht="14.25" thickBot="1"/>
    <row r="3" spans="1:11" ht="14.25" thickBot="1">
      <c r="J3" s="865" t="s">
        <v>69</v>
      </c>
      <c r="K3" s="866" t="str">
        <f>'1_推計値サマリ'!Q3</f>
        <v>珠洲市</v>
      </c>
    </row>
    <row r="4" spans="1:11" ht="14.25" thickBot="1">
      <c r="J4" s="867" t="s">
        <v>70</v>
      </c>
      <c r="K4" s="868" t="str">
        <f>'1_推計値サマリ'!Q4</f>
        <v>17205</v>
      </c>
    </row>
    <row r="5" spans="1:11" ht="14.25" thickBot="1">
      <c r="J5" s="869" t="s">
        <v>106</v>
      </c>
      <c r="K5" s="870" t="str">
        <f>'1_推計値サマリ'!Q5</f>
        <v>20210312第4回目</v>
      </c>
    </row>
    <row r="7" spans="1:11" ht="14.25" thickBot="1">
      <c r="A7" s="871" t="s">
        <v>381</v>
      </c>
      <c r="B7" s="871"/>
      <c r="C7" s="871"/>
      <c r="D7" s="871"/>
      <c r="F7" s="774"/>
      <c r="G7" s="774"/>
      <c r="K7" s="872" t="s">
        <v>396</v>
      </c>
    </row>
    <row r="8" spans="1:11" ht="14.25" thickBot="1">
      <c r="A8" s="775" t="s">
        <v>348</v>
      </c>
      <c r="B8" s="775" t="s">
        <v>397</v>
      </c>
      <c r="C8" s="785" t="s">
        <v>398</v>
      </c>
      <c r="D8" s="823" t="s">
        <v>399</v>
      </c>
      <c r="E8" s="775" t="s">
        <v>298</v>
      </c>
      <c r="F8" s="785" t="s">
        <v>299</v>
      </c>
      <c r="G8" s="780" t="s">
        <v>384</v>
      </c>
      <c r="H8" s="775" t="s">
        <v>296</v>
      </c>
      <c r="I8" s="785" t="s">
        <v>317</v>
      </c>
      <c r="J8" s="785" t="s">
        <v>318</v>
      </c>
      <c r="K8" s="780" t="s">
        <v>319</v>
      </c>
    </row>
    <row r="9" spans="1:11">
      <c r="A9" s="806" t="s">
        <v>349</v>
      </c>
      <c r="B9" s="817" t="n">
        <v>7288809.0</v>
      </c>
      <c r="C9" s="818" t="n">
        <v>9930735.0</v>
      </c>
      <c r="D9" s="819" t="n">
        <v>1.1584E7</v>
      </c>
      <c r="E9" s="817" t="n">
        <v>1.2E7</v>
      </c>
      <c r="F9" s="818" t="n">
        <v>1.2E7</v>
      </c>
      <c r="G9" s="819" t="n">
        <v>1.2E7</v>
      </c>
      <c r="H9" s="817" t="n">
        <v>1.1700231E7</v>
      </c>
      <c r="I9" s="818" t="n">
        <v>1.0055723E7</v>
      </c>
      <c r="J9" s="818" t="n">
        <v>8762944.0</v>
      </c>
      <c r="K9" s="819" t="n">
        <v>7572656.0</v>
      </c>
    </row>
    <row r="10" spans="1:11">
      <c r="A10" s="873" t="s">
        <v>394</v>
      </c>
      <c r="B10" s="874" t="n">
        <v>31.0</v>
      </c>
      <c r="C10" s="875" t="n">
        <v>40.0</v>
      </c>
      <c r="D10" s="876" t="n">
        <v>42.0</v>
      </c>
      <c r="E10" s="874" t="n">
        <v>46.0</v>
      </c>
      <c r="F10" s="875" t="n">
        <v>46.0</v>
      </c>
      <c r="G10" s="876" t="n">
        <v>46.0</v>
      </c>
      <c r="H10" s="874" t="n">
        <v>39.0</v>
      </c>
      <c r="I10" s="875" t="n">
        <v>32.0</v>
      </c>
      <c r="J10" s="875" t="n">
        <v>27.0</v>
      </c>
      <c r="K10" s="876" t="n">
        <v>20.0</v>
      </c>
    </row>
    <row r="11" spans="1:11">
      <c r="A11" s="807" t="s">
        <v>350</v>
      </c>
      <c r="B11" s="820" t="n">
        <v>1401540.0</v>
      </c>
      <c r="C11" s="821" t="n">
        <v>1543842.0</v>
      </c>
      <c r="D11" s="822" t="n">
        <v>1918000.0</v>
      </c>
      <c r="E11" s="820" t="n">
        <v>2100000.0</v>
      </c>
      <c r="F11" s="821" t="n">
        <v>2100000.0</v>
      </c>
      <c r="G11" s="822" t="n">
        <v>2100000.0</v>
      </c>
      <c r="H11" s="820" t="n">
        <v>1206867.0</v>
      </c>
      <c r="I11" s="821" t="n">
        <v>1037238.0</v>
      </c>
      <c r="J11" s="821" t="n">
        <v>903889.0</v>
      </c>
      <c r="K11" s="822" t="n">
        <v>781112.0</v>
      </c>
    </row>
    <row r="12" spans="1:11">
      <c r="A12" s="873" t="s">
        <v>393</v>
      </c>
      <c r="B12" s="874" t="n">
        <v>17.0</v>
      </c>
      <c r="C12" s="875" t="n">
        <v>18.0</v>
      </c>
      <c r="D12" s="876" t="n">
        <v>13.0</v>
      </c>
      <c r="E12" s="874" t="n">
        <v>16.0</v>
      </c>
      <c r="F12" s="875" t="n">
        <v>16.0</v>
      </c>
      <c r="G12" s="876" t="n">
        <v>16.0</v>
      </c>
      <c r="H12" s="874" t="n">
        <v>12.0</v>
      </c>
      <c r="I12" s="875" t="n">
        <v>10.0</v>
      </c>
      <c r="J12" s="875" t="n">
        <v>9.0</v>
      </c>
      <c r="K12" s="876" t="n">
        <v>8.0</v>
      </c>
    </row>
    <row r="13" spans="1:11">
      <c r="A13" s="808" t="s">
        <v>351</v>
      </c>
      <c r="B13" s="777" t="n">
        <v>0.0</v>
      </c>
      <c r="C13" s="787" t="n">
        <v>0.0</v>
      </c>
      <c r="D13" s="782" t="n">
        <v>0.0</v>
      </c>
      <c r="E13" s="777" t="n">
        <v>0.0</v>
      </c>
      <c r="F13" s="787" t="n">
        <v>0.0</v>
      </c>
      <c r="G13" s="782" t="n">
        <v>0.0</v>
      </c>
      <c r="H13" s="777" t="n">
        <v>0.0</v>
      </c>
      <c r="I13" s="787" t="n">
        <v>0.0</v>
      </c>
      <c r="J13" s="787" t="n">
        <v>0.0</v>
      </c>
      <c r="K13" s="782" t="n">
        <v>0.0</v>
      </c>
    </row>
    <row r="14" spans="1:11">
      <c r="A14" s="808" t="s">
        <v>352</v>
      </c>
      <c r="B14" s="777" t="n">
        <v>0.0</v>
      </c>
      <c r="C14" s="787" t="n">
        <v>0.0</v>
      </c>
      <c r="D14" s="782" t="n">
        <v>0.0</v>
      </c>
      <c r="E14" s="777" t="n">
        <v>0.0</v>
      </c>
      <c r="F14" s="787" t="n">
        <v>0.0</v>
      </c>
      <c r="G14" s="782" t="n">
        <v>0.0</v>
      </c>
      <c r="H14" s="777" t="n">
        <v>0.0</v>
      </c>
      <c r="I14" s="787" t="n">
        <v>0.0</v>
      </c>
      <c r="J14" s="787" t="n">
        <v>0.0</v>
      </c>
      <c r="K14" s="782" t="n">
        <v>0.0</v>
      </c>
    </row>
    <row r="15" spans="1:11">
      <c r="A15" s="808" t="s">
        <v>353</v>
      </c>
      <c r="B15" s="777" t="n">
        <v>0.0</v>
      </c>
      <c r="C15" s="787" t="n">
        <v>0.0</v>
      </c>
      <c r="D15" s="782" t="n">
        <v>0.0</v>
      </c>
      <c r="E15" s="777" t="n">
        <v>0.0</v>
      </c>
      <c r="F15" s="787" t="n">
        <v>0.0</v>
      </c>
      <c r="G15" s="782" t="n">
        <v>0.0</v>
      </c>
      <c r="H15" s="777" t="n">
        <v>0.0</v>
      </c>
      <c r="I15" s="787" t="n">
        <v>0.0</v>
      </c>
      <c r="J15" s="787" t="n">
        <v>0.0</v>
      </c>
      <c r="K15" s="782" t="n">
        <v>0.0</v>
      </c>
    </row>
    <row r="16" spans="1:11" ht="14.25" thickBot="1">
      <c r="A16" s="809" t="s">
        <v>354</v>
      </c>
      <c r="B16" s="778" t="n">
        <v>0.0</v>
      </c>
      <c r="C16" s="788" t="n">
        <v>0.0</v>
      </c>
      <c r="D16" s="783" t="n">
        <v>0.0</v>
      </c>
      <c r="E16" s="778" t="n">
        <v>0.0</v>
      </c>
      <c r="F16" s="788" t="n">
        <v>0.0</v>
      </c>
      <c r="G16" s="783" t="n">
        <v>0.0</v>
      </c>
      <c r="H16" s="778" t="n">
        <v>0.0</v>
      </c>
      <c r="I16" s="788" t="n">
        <v>0.0</v>
      </c>
      <c r="J16" s="788" t="n">
        <v>0.0</v>
      </c>
      <c r="K16" s="783" t="n">
        <v>0.0</v>
      </c>
    </row>
    <row r="17" spans="1:11">
      <c r="A17" s="806" t="s">
        <v>355</v>
      </c>
      <c r="B17" s="817" t="n">
        <v>2.8843683E7</v>
      </c>
      <c r="C17" s="818" t="n">
        <v>3.3275122E7</v>
      </c>
      <c r="D17" s="819" t="n">
        <v>3.5556E7</v>
      </c>
      <c r="E17" s="817" t="n">
        <v>3.9E7</v>
      </c>
      <c r="F17" s="818" t="n">
        <v>3.9E7</v>
      </c>
      <c r="G17" s="819" t="n">
        <v>3.9E7</v>
      </c>
      <c r="H17" s="817" t="n">
        <v>2.9367511E7</v>
      </c>
      <c r="I17" s="818" t="n">
        <v>2.5239806E7</v>
      </c>
      <c r="J17" s="818" t="n">
        <v>2.1994939E7</v>
      </c>
      <c r="K17" s="819" t="n">
        <v>1.9007322E7</v>
      </c>
    </row>
    <row r="18" spans="1:11">
      <c r="A18" s="873" t="s">
        <v>394</v>
      </c>
      <c r="B18" s="874" t="n">
        <v>110.0</v>
      </c>
      <c r="C18" s="875" t="n">
        <v>121.0</v>
      </c>
      <c r="D18" s="876" t="n">
        <v>106.0</v>
      </c>
      <c r="E18" s="874" t="n">
        <v>120.0</v>
      </c>
      <c r="F18" s="875" t="n">
        <v>120.0</v>
      </c>
      <c r="G18" s="876" t="n">
        <v>120.0</v>
      </c>
      <c r="H18" s="874" t="n">
        <v>99.0</v>
      </c>
      <c r="I18" s="875" t="n">
        <v>83.0</v>
      </c>
      <c r="J18" s="875" t="n">
        <v>72.0</v>
      </c>
      <c r="K18" s="876" t="n">
        <v>62.0</v>
      </c>
    </row>
    <row r="19" spans="1:11">
      <c r="A19" s="810" t="s">
        <v>356</v>
      </c>
      <c r="B19" s="820" t="n">
        <v>1.01226E7</v>
      </c>
      <c r="C19" s="821" t="n">
        <v>9659516.0</v>
      </c>
      <c r="D19" s="822" t="n">
        <v>1.0854E7</v>
      </c>
      <c r="E19" s="820" t="n">
        <v>1.08E7</v>
      </c>
      <c r="F19" s="821" t="n">
        <v>1.08E7</v>
      </c>
      <c r="G19" s="822" t="n">
        <v>1.08E7</v>
      </c>
      <c r="H19" s="820" t="n">
        <v>7525687.0</v>
      </c>
      <c r="I19" s="821" t="n">
        <v>6467926.0</v>
      </c>
      <c r="J19" s="821" t="n">
        <v>5636400.0</v>
      </c>
      <c r="K19" s="822" t="n">
        <v>4870796.0</v>
      </c>
    </row>
    <row r="20" spans="1:11">
      <c r="A20" s="873" t="s">
        <v>393</v>
      </c>
      <c r="B20" s="874" t="n">
        <v>83.0</v>
      </c>
      <c r="C20" s="875" t="n">
        <v>80.0</v>
      </c>
      <c r="D20" s="876" t="n">
        <v>66.0</v>
      </c>
      <c r="E20" s="874" t="n">
        <v>80.0</v>
      </c>
      <c r="F20" s="875" t="n">
        <v>80.0</v>
      </c>
      <c r="G20" s="876" t="n">
        <v>80.0</v>
      </c>
      <c r="H20" s="874" t="n">
        <v>62.0</v>
      </c>
      <c r="I20" s="875" t="n">
        <v>51.0</v>
      </c>
      <c r="J20" s="875" t="n">
        <v>44.0</v>
      </c>
      <c r="K20" s="876" t="n">
        <v>38.0</v>
      </c>
    </row>
    <row r="21" spans="1:11">
      <c r="A21" s="808" t="s">
        <v>357</v>
      </c>
      <c r="B21" s="777" t="n">
        <v>0.0</v>
      </c>
      <c r="C21" s="787" t="n">
        <v>0.0</v>
      </c>
      <c r="D21" s="782" t="n">
        <v>0.0</v>
      </c>
      <c r="E21" s="777" t="n">
        <v>0.0</v>
      </c>
      <c r="F21" s="787" t="n">
        <v>0.0</v>
      </c>
      <c r="G21" s="782" t="n">
        <v>0.0</v>
      </c>
      <c r="H21" s="777" t="n">
        <v>0.0</v>
      </c>
      <c r="I21" s="787" t="n">
        <v>0.0</v>
      </c>
      <c r="J21" s="787" t="n">
        <v>0.0</v>
      </c>
      <c r="K21" s="782" t="n">
        <v>0.0</v>
      </c>
    </row>
    <row r="22" spans="1:11">
      <c r="A22" s="808" t="s">
        <v>358</v>
      </c>
      <c r="B22" s="777" t="n">
        <v>0.0</v>
      </c>
      <c r="C22" s="787" t="n">
        <v>0.0</v>
      </c>
      <c r="D22" s="782" t="n">
        <v>0.0</v>
      </c>
      <c r="E22" s="777" t="n">
        <v>0.0</v>
      </c>
      <c r="F22" s="787" t="n">
        <v>0.0</v>
      </c>
      <c r="G22" s="782" t="n">
        <v>0.0</v>
      </c>
      <c r="H22" s="777" t="n">
        <v>0.0</v>
      </c>
      <c r="I22" s="787" t="n">
        <v>0.0</v>
      </c>
      <c r="J22" s="787" t="n">
        <v>0.0</v>
      </c>
      <c r="K22" s="782" t="n">
        <v>0.0</v>
      </c>
    </row>
    <row r="23" spans="1:11" ht="14.25" thickBot="1">
      <c r="A23" s="810" t="s">
        <v>359</v>
      </c>
      <c r="B23" s="779" t="n">
        <v>0.0</v>
      </c>
      <c r="C23" s="789" t="n">
        <v>0.0</v>
      </c>
      <c r="D23" s="784" t="n">
        <v>0.0</v>
      </c>
      <c r="E23" s="779" t="n">
        <v>0.0</v>
      </c>
      <c r="F23" s="789" t="n">
        <v>0.0</v>
      </c>
      <c r="G23" s="784" t="n">
        <v>0.0</v>
      </c>
      <c r="H23" s="779" t="n">
        <v>0.0</v>
      </c>
      <c r="I23" s="789" t="n">
        <v>0.0</v>
      </c>
      <c r="J23" s="789" t="n">
        <v>0.0</v>
      </c>
      <c r="K23" s="784" t="n">
        <v>0.0</v>
      </c>
    </row>
    <row r="24" spans="1:11">
      <c r="A24" s="811" t="s">
        <v>360</v>
      </c>
      <c r="B24" s="776" t="n">
        <v>0.0</v>
      </c>
      <c r="C24" s="786" t="n">
        <v>0.0</v>
      </c>
      <c r="D24" s="781" t="n">
        <v>0.0</v>
      </c>
      <c r="E24" s="776" t="n">
        <v>0.0</v>
      </c>
      <c r="F24" s="786" t="n">
        <v>0.0</v>
      </c>
      <c r="G24" s="781" t="n">
        <v>0.0</v>
      </c>
      <c r="H24" s="776" t="n">
        <v>0.0</v>
      </c>
      <c r="I24" s="786" t="n">
        <v>0.0</v>
      </c>
      <c r="J24" s="786" t="n">
        <v>0.0</v>
      </c>
      <c r="K24" s="781" t="n">
        <v>0.0</v>
      </c>
    </row>
    <row r="25" spans="1:11">
      <c r="A25" s="808" t="s">
        <v>361</v>
      </c>
      <c r="B25" s="777" t="n">
        <v>0.0</v>
      </c>
      <c r="C25" s="787" t="n">
        <v>0.0</v>
      </c>
      <c r="D25" s="782" t="n">
        <v>0.0</v>
      </c>
      <c r="E25" s="777" t="n">
        <v>0.0</v>
      </c>
      <c r="F25" s="787" t="n">
        <v>0.0</v>
      </c>
      <c r="G25" s="782" t="n">
        <v>0.0</v>
      </c>
      <c r="H25" s="777" t="n">
        <v>0.0</v>
      </c>
      <c r="I25" s="787" t="n">
        <v>0.0</v>
      </c>
      <c r="J25" s="787" t="n">
        <v>0.0</v>
      </c>
      <c r="K25" s="782" t="n">
        <v>0.0</v>
      </c>
    </row>
    <row r="26" spans="1:11" ht="14.25" thickBot="1">
      <c r="A26" s="809" t="s">
        <v>362</v>
      </c>
      <c r="B26" s="778" t="n">
        <v>0.0</v>
      </c>
      <c r="C26" s="788" t="n">
        <v>0.0</v>
      </c>
      <c r="D26" s="783" t="n">
        <v>0.0</v>
      </c>
      <c r="E26" s="778" t="n">
        <v>0.0</v>
      </c>
      <c r="F26" s="788" t="n">
        <v>0.0</v>
      </c>
      <c r="G26" s="783" t="n">
        <v>0.0</v>
      </c>
      <c r="H26" s="778" t="n">
        <v>0.0</v>
      </c>
      <c r="I26" s="788" t="n">
        <v>0.0</v>
      </c>
      <c r="J26" s="788" t="n">
        <v>0.0</v>
      </c>
      <c r="K26" s="783" t="n">
        <v>0.0</v>
      </c>
    </row>
    <row r="27" spans="1:11" ht="14.25" thickBot="1">
      <c r="A27" s="810" t="s">
        <v>363</v>
      </c>
      <c r="B27" s="779" t="n">
        <v>9437920.0</v>
      </c>
      <c r="C27" s="789" t="n">
        <v>9472463.0</v>
      </c>
      <c r="D27" s="784" t="n">
        <v>1.0028E7</v>
      </c>
      <c r="E27" s="779" t="n">
        <v>1.0187E7</v>
      </c>
      <c r="F27" s="789" t="n">
        <v>1.0187E7</v>
      </c>
      <c r="G27" s="784" t="n">
        <v>1.0187E7</v>
      </c>
      <c r="H27" s="779" t="n">
        <v>1.1867739E7</v>
      </c>
      <c r="I27" s="789" t="n">
        <v>1.1159565E7</v>
      </c>
      <c r="J27" s="789" t="n">
        <v>1.0487709E7</v>
      </c>
      <c r="K27" s="784" t="n">
        <v>9854763.0</v>
      </c>
    </row>
    <row r="28" spans="1:11">
      <c r="A28" s="811" t="s">
        <v>364</v>
      </c>
      <c r="B28" s="776" t="n">
        <v>0.0</v>
      </c>
      <c r="C28" s="786" t="n">
        <v>0.0</v>
      </c>
      <c r="D28" s="781" t="n">
        <v>0.0</v>
      </c>
      <c r="E28" s="776" t="n">
        <v>0.0</v>
      </c>
      <c r="F28" s="786" t="n">
        <v>0.0</v>
      </c>
      <c r="G28" s="781" t="n">
        <v>0.0</v>
      </c>
      <c r="H28" s="776" t="n">
        <v>0.0</v>
      </c>
      <c r="I28" s="786" t="n">
        <v>0.0</v>
      </c>
      <c r="J28" s="786" t="n">
        <v>0.0</v>
      </c>
      <c r="K28" s="781" t="n">
        <v>0.0</v>
      </c>
    </row>
    <row r="29" spans="1:11">
      <c r="A29" s="808" t="s">
        <v>365</v>
      </c>
      <c r="B29" s="777" t="n">
        <v>9770278.0</v>
      </c>
      <c r="C29" s="787" t="n">
        <v>1.0526371E7</v>
      </c>
      <c r="D29" s="782" t="n">
        <v>1.0559E7</v>
      </c>
      <c r="E29" s="777" t="n">
        <v>1.3307E7</v>
      </c>
      <c r="F29" s="787" t="n">
        <v>1.3307E7</v>
      </c>
      <c r="G29" s="782" t="n">
        <v>1.3307E7</v>
      </c>
      <c r="H29" s="777" t="n">
        <v>1.5552903E7</v>
      </c>
      <c r="I29" s="787" t="n">
        <v>1.4624828E7</v>
      </c>
      <c r="J29" s="787" t="n">
        <v>1.3744347E7</v>
      </c>
      <c r="K29" s="782" t="n">
        <v>1.2914859E7</v>
      </c>
    </row>
    <row r="30" spans="1:11">
      <c r="A30" s="808" t="s">
        <v>366</v>
      </c>
      <c r="B30" s="777" t="n">
        <v>402392.0</v>
      </c>
      <c r="C30" s="787" t="n">
        <v>212768.0</v>
      </c>
      <c r="D30" s="782" t="n">
        <v>500000.0</v>
      </c>
      <c r="E30" s="777" t="n">
        <v>444000.0</v>
      </c>
      <c r="F30" s="787" t="n">
        <v>444000.0</v>
      </c>
      <c r="G30" s="782" t="n">
        <v>444000.0</v>
      </c>
      <c r="H30" s="777" t="n">
        <v>517265.0</v>
      </c>
      <c r="I30" s="787" t="n">
        <v>486399.0</v>
      </c>
      <c r="J30" s="787" t="n">
        <v>457115.0</v>
      </c>
      <c r="K30" s="782" t="n">
        <v>429528.0</v>
      </c>
    </row>
    <row r="31" spans="1:11">
      <c r="A31" s="808" t="s">
        <v>367</v>
      </c>
      <c r="B31" s="777" t="n">
        <v>2000000.0</v>
      </c>
      <c r="C31" s="787" t="n">
        <v>4000000.0</v>
      </c>
      <c r="D31" s="782" t="n">
        <v>0.0</v>
      </c>
      <c r="E31" s="777" t="n">
        <v>0.0</v>
      </c>
      <c r="F31" s="787" t="n">
        <v>0.0</v>
      </c>
      <c r="G31" s="782" t="n">
        <v>0.0</v>
      </c>
      <c r="H31" s="777" t="n">
        <v>0.0</v>
      </c>
      <c r="I31" s="787" t="n">
        <v>0.0</v>
      </c>
      <c r="J31" s="787" t="n">
        <v>0.0</v>
      </c>
      <c r="K31" s="782" t="n">
        <v>0.0</v>
      </c>
    </row>
    <row r="32" spans="1:11" ht="14.25" thickBot="1">
      <c r="A32" s="809" t="s">
        <v>368</v>
      </c>
      <c r="B32" s="778" t="n">
        <v>0.0</v>
      </c>
      <c r="C32" s="788" t="n">
        <v>0.0</v>
      </c>
      <c r="D32" s="783" t="n">
        <v>0.0</v>
      </c>
      <c r="E32" s="778" t="n">
        <v>0.0</v>
      </c>
      <c r="F32" s="788" t="n">
        <v>0.0</v>
      </c>
      <c r="G32" s="783" t="n">
        <v>0.0</v>
      </c>
      <c r="H32" s="778" t="n">
        <v>0.0</v>
      </c>
      <c r="I32" s="788" t="n">
        <v>0.0</v>
      </c>
      <c r="J32" s="788" t="n">
        <v>0.0</v>
      </c>
      <c r="K32" s="783" t="n">
        <v>0.0</v>
      </c>
    </row>
    <row r="33" spans="1:11" ht="14.25" thickBot="1">
      <c r="A33" s="809" t="s">
        <v>369</v>
      </c>
      <c r="B33" s="778" t="n">
        <v>324524.0</v>
      </c>
      <c r="C33" s="788" t="n">
        <v>316498.0</v>
      </c>
      <c r="D33" s="783" t="n">
        <v>396000.0</v>
      </c>
      <c r="E33" s="778" t="n">
        <v>396000.0</v>
      </c>
      <c r="F33" s="788" t="n">
        <v>396000.0</v>
      </c>
      <c r="G33" s="783" t="n">
        <v>396000.0</v>
      </c>
      <c r="H33" s="778" t="n">
        <v>0.0</v>
      </c>
      <c r="I33" s="788" t="n">
        <v>0.0</v>
      </c>
      <c r="J33" s="788" t="n">
        <v>0.0</v>
      </c>
      <c r="K33" s="783" t="n">
        <v>0.0</v>
      </c>
    </row>
    <row r="35" spans="1:11" ht="14.25" thickBot="1">
      <c r="A35" s="871" t="s">
        <v>415</v>
      </c>
      <c r="B35" s="871"/>
      <c r="C35" s="871"/>
      <c r="D35" s="871"/>
      <c r="E35" s="774"/>
      <c r="F35" s="774"/>
      <c r="G35" s="774"/>
      <c r="H35" s="774"/>
      <c r="I35" s="774"/>
      <c r="J35" s="774"/>
      <c r="K35" s="872" t="s">
        <v>395</v>
      </c>
    </row>
    <row r="36" spans="1:11" ht="14.25" thickBot="1">
      <c r="A36" s="794" t="s">
        <v>348</v>
      </c>
      <c r="B36" s="775" t="s">
        <v>397</v>
      </c>
      <c r="C36" s="785" t="s">
        <v>398</v>
      </c>
      <c r="D36" s="823" t="s">
        <v>399</v>
      </c>
      <c r="E36" s="794" t="s">
        <v>298</v>
      </c>
      <c r="F36" s="791" t="s">
        <v>299</v>
      </c>
      <c r="G36" s="790" t="s">
        <v>384</v>
      </c>
      <c r="H36" s="794" t="s">
        <v>296</v>
      </c>
      <c r="I36" s="791" t="s">
        <v>317</v>
      </c>
      <c r="J36" s="791" t="s">
        <v>318</v>
      </c>
      <c r="K36" s="790" t="s">
        <v>319</v>
      </c>
    </row>
    <row r="37" spans="1:11">
      <c r="A37" s="811" t="s">
        <v>370</v>
      </c>
      <c r="B37" s="776" t="n">
        <v>2.4572681E7</v>
      </c>
      <c r="C37" s="792" t="n">
        <v>2.7347356E7</v>
      </c>
      <c r="D37" s="781" t="n">
        <v>2.9588E7</v>
      </c>
      <c r="E37" s="776" t="n">
        <v>3.024E7</v>
      </c>
      <c r="F37" s="792" t="n">
        <v>3.024E7</v>
      </c>
      <c r="G37" s="781" t="n">
        <v>3.024E7</v>
      </c>
      <c r="H37" s="776" t="n">
        <v>2.9650505E7</v>
      </c>
      <c r="I37" s="792" t="n">
        <v>2.7881722E7</v>
      </c>
      <c r="J37" s="792" t="n">
        <v>2.6206502E7</v>
      </c>
      <c r="K37" s="781" t="n">
        <v>2.46293E7</v>
      </c>
    </row>
    <row r="38" spans="1:11" ht="14.25" thickBot="1">
      <c r="A38" s="812" t="s">
        <v>371</v>
      </c>
      <c r="B38" s="778" t="n">
        <v>5148160.0</v>
      </c>
      <c r="C38" s="793" t="n">
        <v>4700720.0</v>
      </c>
      <c r="D38" s="783" t="n">
        <v>8532000.0</v>
      </c>
      <c r="E38" s="778" t="n">
        <v>9375000.0</v>
      </c>
      <c r="F38" s="793" t="n">
        <v>9375000.0</v>
      </c>
      <c r="G38" s="783" t="n">
        <v>9375000.0</v>
      </c>
      <c r="H38" s="778" t="n">
        <v>9008855.0</v>
      </c>
      <c r="I38" s="793" t="n">
        <v>8471438.0</v>
      </c>
      <c r="J38" s="793" t="n">
        <v>7962447.0</v>
      </c>
      <c r="K38" s="783" t="n">
        <v>7483239.0</v>
      </c>
    </row>
    <row r="39" spans="1:11">
      <c r="E39" s="774"/>
      <c r="F39" s="774"/>
      <c r="G39" s="774"/>
      <c r="H39" s="774"/>
      <c r="I39" s="774"/>
      <c r="J39" s="774"/>
      <c r="K39" s="774"/>
    </row>
    <row r="40" spans="1:11" ht="14.25" thickBot="1">
      <c r="A40" s="871" t="s">
        <v>382</v>
      </c>
      <c r="B40" s="871"/>
      <c r="C40" s="871"/>
      <c r="D40" s="871"/>
      <c r="E40" s="774"/>
      <c r="F40" s="774"/>
      <c r="G40" s="774"/>
      <c r="H40" s="774"/>
      <c r="I40" s="774"/>
      <c r="J40" s="774"/>
      <c r="K40" s="872" t="s">
        <v>395</v>
      </c>
    </row>
    <row r="41" spans="1:11" ht="14.25" thickBot="1">
      <c r="A41" s="794" t="s">
        <v>348</v>
      </c>
      <c r="B41" s="775" t="s">
        <v>397</v>
      </c>
      <c r="C41" s="785" t="s">
        <v>398</v>
      </c>
      <c r="D41" s="823" t="s">
        <v>399</v>
      </c>
      <c r="E41" s="794" t="s">
        <v>298</v>
      </c>
      <c r="F41" s="795" t="s">
        <v>299</v>
      </c>
      <c r="G41" s="790" t="s">
        <v>384</v>
      </c>
      <c r="H41" s="794" t="s">
        <v>296</v>
      </c>
      <c r="I41" s="795" t="s">
        <v>317</v>
      </c>
      <c r="J41" s="795" t="s">
        <v>318</v>
      </c>
      <c r="K41" s="790" t="s">
        <v>319</v>
      </c>
    </row>
    <row r="42" spans="1:11">
      <c r="A42" s="811" t="s">
        <v>372</v>
      </c>
      <c r="B42" s="776" t="n">
        <v>4000000.0</v>
      </c>
      <c r="C42" s="786" t="n">
        <v>4027460.0</v>
      </c>
      <c r="D42" s="781" t="n">
        <v>6083000.0</v>
      </c>
      <c r="E42" s="776" t="n">
        <v>5083000.0</v>
      </c>
      <c r="F42" s="786" t="n">
        <v>5083000.0</v>
      </c>
      <c r="G42" s="781" t="n">
        <v>5083000.0</v>
      </c>
      <c r="H42" s="776" t="n">
        <v>5083000.0</v>
      </c>
      <c r="I42" s="786" t="n">
        <v>5083000.0</v>
      </c>
      <c r="J42" s="786" t="n">
        <v>5083000.0</v>
      </c>
      <c r="K42" s="781" t="n">
        <v>5083000.0</v>
      </c>
    </row>
    <row r="43" spans="1:11">
      <c r="A43" s="808" t="s">
        <v>373</v>
      </c>
      <c r="B43" s="777" t="n">
        <v>3161903.0</v>
      </c>
      <c r="C43" s="787" t="n">
        <v>3147979.0</v>
      </c>
      <c r="D43" s="782" t="n">
        <v>880000.0</v>
      </c>
      <c r="E43" s="777" t="n">
        <v>3852000.0</v>
      </c>
      <c r="F43" s="787" t="n">
        <v>3852000.0</v>
      </c>
      <c r="G43" s="782" t="n">
        <v>3852000.0</v>
      </c>
      <c r="H43" s="777" t="n">
        <v>3852000.0</v>
      </c>
      <c r="I43" s="787" t="n">
        <v>3852000.0</v>
      </c>
      <c r="J43" s="787" t="n">
        <v>3852000.0</v>
      </c>
      <c r="K43" s="782" t="n">
        <v>3852000.0</v>
      </c>
    </row>
    <row r="44" spans="1:11">
      <c r="A44" s="808" t="s">
        <v>374</v>
      </c>
      <c r="B44" s="777" t="n">
        <v>2050350.0</v>
      </c>
      <c r="C44" s="787" t="n">
        <v>2135840.0</v>
      </c>
      <c r="D44" s="782" t="n">
        <v>2178000.0</v>
      </c>
      <c r="E44" s="777" t="n">
        <v>3178000.0</v>
      </c>
      <c r="F44" s="787" t="n">
        <v>3178000.0</v>
      </c>
      <c r="G44" s="782" t="n">
        <v>3178000.0</v>
      </c>
      <c r="H44" s="777" t="n">
        <v>3177300.0</v>
      </c>
      <c r="I44" s="787" t="n">
        <v>3177300.0</v>
      </c>
      <c r="J44" s="787" t="n">
        <v>3177300.0</v>
      </c>
      <c r="K44" s="782" t="n">
        <v>3177300.0</v>
      </c>
    </row>
    <row r="45" spans="1:11">
      <c r="A45" s="808" t="s">
        <v>375</v>
      </c>
      <c r="B45" s="777" t="n">
        <v>2211741.0</v>
      </c>
      <c r="C45" s="787" t="n">
        <v>4175659.0</v>
      </c>
      <c r="D45" s="782" t="n">
        <v>6709000.0</v>
      </c>
      <c r="E45" s="777" t="n">
        <v>3978000.0</v>
      </c>
      <c r="F45" s="787" t="n">
        <v>3978000.0</v>
      </c>
      <c r="G45" s="782" t="n">
        <v>3978000.0</v>
      </c>
      <c r="H45" s="777" t="n">
        <v>3978000.0</v>
      </c>
      <c r="I45" s="787" t="n">
        <v>3978000.0</v>
      </c>
      <c r="J45" s="787" t="n">
        <v>3978000.0</v>
      </c>
      <c r="K45" s="782" t="n">
        <v>3978000.0</v>
      </c>
    </row>
    <row r="46" spans="1:11">
      <c r="A46" s="808" t="s">
        <v>421</v>
      </c>
      <c r="B46" s="777" t="n">
        <v>0.0</v>
      </c>
      <c r="C46" s="787" t="n">
        <v>0.0</v>
      </c>
      <c r="D46" s="782" t="n">
        <v>0.0</v>
      </c>
      <c r="E46" s="777" t="n">
        <v>0.0</v>
      </c>
      <c r="F46" s="787" t="n">
        <v>0.0</v>
      </c>
      <c r="G46" s="782" t="n">
        <v>0.0</v>
      </c>
      <c r="H46" s="777" t="n">
        <v>0.0</v>
      </c>
      <c r="I46" s="787" t="n">
        <v>0.0</v>
      </c>
      <c r="J46" s="787" t="n">
        <v>0.0</v>
      </c>
      <c r="K46" s="782" t="n">
        <v>0.0</v>
      </c>
    </row>
    <row r="47" spans="1:11" ht="14.25" thickBot="1">
      <c r="A47" s="809" t="s">
        <v>376</v>
      </c>
      <c r="B47" s="778" t="n">
        <v>0.0</v>
      </c>
      <c r="C47" s="788" t="n">
        <v>0.0</v>
      </c>
      <c r="D47" s="783" t="n">
        <v>0.0</v>
      </c>
      <c r="E47" s="778" t="n">
        <v>0.0</v>
      </c>
      <c r="F47" s="788" t="n">
        <v>0.0</v>
      </c>
      <c r="G47" s="783" t="n">
        <v>0.0</v>
      </c>
      <c r="H47" s="778" t="n">
        <v>0.0</v>
      </c>
      <c r="I47" s="788" t="n">
        <v>0.0</v>
      </c>
      <c r="J47" s="788" t="n">
        <v>0.0</v>
      </c>
      <c r="K47" s="783" t="n">
        <v>0.0</v>
      </c>
    </row>
    <row r="48" spans="1:11">
      <c r="E48" s="774"/>
      <c r="F48" s="774"/>
      <c r="G48" s="774"/>
      <c r="H48" s="774"/>
      <c r="I48" s="774"/>
      <c r="J48" s="774"/>
      <c r="K48" s="774"/>
    </row>
    <row r="49" spans="1:11" ht="14.25" thickBot="1">
      <c r="A49" s="871" t="s">
        <v>383</v>
      </c>
      <c r="B49" s="871"/>
      <c r="C49" s="871"/>
      <c r="D49" s="871"/>
      <c r="E49" s="774"/>
      <c r="F49" s="774"/>
      <c r="G49" s="774"/>
      <c r="H49" s="774"/>
      <c r="I49" s="774"/>
      <c r="J49" s="774"/>
      <c r="K49" s="872" t="s">
        <v>395</v>
      </c>
    </row>
    <row r="50" spans="1:11" ht="14.25" thickBot="1">
      <c r="A50" s="794"/>
      <c r="B50" s="775" t="s">
        <v>397</v>
      </c>
      <c r="C50" s="785" t="s">
        <v>398</v>
      </c>
      <c r="D50" s="823" t="s">
        <v>399</v>
      </c>
      <c r="E50" s="794" t="s">
        <v>298</v>
      </c>
      <c r="F50" s="795" t="s">
        <v>299</v>
      </c>
      <c r="G50" s="790" t="s">
        <v>384</v>
      </c>
      <c r="H50" s="794" t="s">
        <v>296</v>
      </c>
      <c r="I50" s="795" t="s">
        <v>380</v>
      </c>
      <c r="J50" s="795" t="s">
        <v>318</v>
      </c>
      <c r="K50" s="790" t="s">
        <v>319</v>
      </c>
    </row>
    <row r="51" spans="1:11">
      <c r="A51" s="811" t="s">
        <v>377</v>
      </c>
      <c r="B51" s="877" t="n">
        <f>SUM(B9,B11,B13:B17,B19,B21:B33)</f>
        <v>6.9591746E7</v>
      </c>
      <c r="C51" s="878" t="n">
        <f t="shared" ref="C51:D51" si="0">SUM(C9,C11,C13:C17,C19,C21:C33)</f>
        <v>7.8937315E7</v>
      </c>
      <c r="D51" s="879" t="n">
        <f t="shared" si="0"/>
        <v>8.1395E7</v>
      </c>
      <c r="E51" s="877" t="n">
        <f>SUM(E9,E11,E13:E17,E19,E21:E33)</f>
        <v>8.8234E7</v>
      </c>
      <c r="F51" s="878" t="n">
        <f t="shared" ref="F51:J51" si="1">SUM(F9,F11,F13:F17,F19,F21:F33)</f>
        <v>8.8234E7</v>
      </c>
      <c r="G51" s="879" t="n">
        <f t="shared" si="1"/>
        <v>8.8234E7</v>
      </c>
      <c r="H51" s="877" t="n">
        <f t="shared" si="1"/>
        <v>7.7738203E7</v>
      </c>
      <c r="I51" s="878" t="n">
        <f t="shared" si="1"/>
        <v>6.9071485E7</v>
      </c>
      <c r="J51" s="878" t="n">
        <f t="shared" si="1"/>
        <v>6.1987343E7</v>
      </c>
      <c r="K51" s="879" t="n">
        <f>SUM(K9,K11,K13:K17,K19,K21:K33)</f>
        <v>5.5431036E7</v>
      </c>
    </row>
    <row r="52" spans="1:11">
      <c r="A52" s="808" t="s">
        <v>416</v>
      </c>
      <c r="B52" s="880" t="n">
        <f>SUM(B37:B38)</f>
        <v>2.9720841E7</v>
      </c>
      <c r="C52" s="881" t="n">
        <f t="shared" ref="C52:D52" si="2">SUM(C37:C38)</f>
        <v>3.2048076E7</v>
      </c>
      <c r="D52" s="882" t="n">
        <f t="shared" si="2"/>
        <v>3.812E7</v>
      </c>
      <c r="E52" s="880" t="n">
        <f>SUM(E37:E38)</f>
        <v>3.9615E7</v>
      </c>
      <c r="F52" s="881" t="n">
        <f t="shared" ref="F52:K52" si="3">SUM(F37:F38)</f>
        <v>3.9615E7</v>
      </c>
      <c r="G52" s="882" t="n">
        <f t="shared" si="3"/>
        <v>3.9615E7</v>
      </c>
      <c r="H52" s="880" t="n">
        <f t="shared" si="3"/>
        <v>3.865936E7</v>
      </c>
      <c r="I52" s="881" t="n">
        <f t="shared" si="3"/>
        <v>3.635316E7</v>
      </c>
      <c r="J52" s="881" t="n">
        <f t="shared" si="3"/>
        <v>3.4168949E7</v>
      </c>
      <c r="K52" s="882" t="n">
        <f t="shared" si="3"/>
        <v>3.2112539E7</v>
      </c>
    </row>
    <row r="53" spans="1:11" ht="14.25" thickBot="1">
      <c r="A53" s="809" t="s">
        <v>378</v>
      </c>
      <c r="B53" s="796" t="n">
        <f>SUM(B42:B47)</f>
        <v>1.1423994E7</v>
      </c>
      <c r="C53" s="798" t="n">
        <f t="shared" ref="C53:D53" si="4">SUM(C42:C47)</f>
        <v>1.3486938E7</v>
      </c>
      <c r="D53" s="797" t="n">
        <f t="shared" si="4"/>
        <v>1.585E7</v>
      </c>
      <c r="E53" s="796" t="n">
        <f>SUM(E42:E47)</f>
        <v>1.6091E7</v>
      </c>
      <c r="F53" s="798" t="n">
        <f t="shared" ref="F53:K53" si="5">SUM(F42:F47)</f>
        <v>1.6091E7</v>
      </c>
      <c r="G53" s="797" t="n">
        <f t="shared" si="5"/>
        <v>1.6091E7</v>
      </c>
      <c r="H53" s="796" t="n">
        <f t="shared" si="5"/>
        <v>1.60903E7</v>
      </c>
      <c r="I53" s="798" t="n">
        <f t="shared" si="5"/>
        <v>1.60903E7</v>
      </c>
      <c r="J53" s="798" t="n">
        <f t="shared" si="5"/>
        <v>1.60903E7</v>
      </c>
      <c r="K53" s="797" t="n">
        <f t="shared" si="5"/>
        <v>1.60903E7</v>
      </c>
    </row>
    <row r="54" spans="1:11" ht="14.25" thickBot="1">
      <c r="A54" s="812" t="s">
        <v>379</v>
      </c>
      <c r="B54" s="796" t="n">
        <f>SUM(B51:B53)</f>
        <v>1.10736581E8</v>
      </c>
      <c r="C54" s="798" t="n">
        <f t="shared" ref="C54:D54" si="6">SUM(C51:C53)</f>
        <v>1.24472329E8</v>
      </c>
      <c r="D54" s="797" t="n">
        <f t="shared" si="6"/>
        <v>1.35365E8</v>
      </c>
      <c r="E54" s="796" t="n">
        <f>SUM(E51:E53)</f>
        <v>1.4394E8</v>
      </c>
      <c r="F54" s="798" t="n">
        <f t="shared" ref="F54:K54" si="7">SUM(F51:F53)</f>
        <v>1.4394E8</v>
      </c>
      <c r="G54" s="797" t="n">
        <f t="shared" si="7"/>
        <v>1.4394E8</v>
      </c>
      <c r="H54" s="796" t="n">
        <f t="shared" si="7"/>
        <v>1.32487863E8</v>
      </c>
      <c r="I54" s="798" t="n">
        <f t="shared" si="7"/>
        <v>1.21514945E8</v>
      </c>
      <c r="J54" s="798" t="n">
        <f t="shared" si="7"/>
        <v>1.12246592E8</v>
      </c>
      <c r="K54" s="797" t="n">
        <f t="shared" si="7"/>
        <v>1.03633875E8</v>
      </c>
    </row>
    <row r="56" spans="1:11">
      <c r="A56" s="864" t="s">
        <v>410</v>
      </c>
    </row>
  </sheetData>
  <phoneticPr fontId="3"/>
  <pageMargins left="0.7" right="0.7" top="0.75" bottom="0.75" header="0.3" footer="0.3"/>
  <pageSetup paperSize="9" scale="57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47"/>
  <sheetViews>
    <sheetView showGridLines="0" view="pageBreakPreview" zoomScale="85" zoomScaleNormal="40" zoomScaleSheetLayoutView="85" workbookViewId="0">
      <selection activeCell="M1" sqref="M1"/>
    </sheetView>
  </sheetViews>
  <sheetFormatPr defaultRowHeight="13.5"/>
  <cols>
    <col min="1" max="1" bestFit="true" customWidth="true" style="393" width="43.125" collapsed="false"/>
    <col min="2" max="4" customWidth="true" style="393" width="11.375" collapsed="false"/>
    <col min="5" max="11" style="393" width="9.0" collapsed="false"/>
    <col min="12" max="12" customWidth="true" style="393" width="10.125" collapsed="false"/>
    <col min="13" max="16384" style="393" width="9.0" collapsed="false"/>
  </cols>
  <sheetData>
    <row r="1" spans="1:12" ht="14.25">
      <c r="A1" s="392" t="s">
        <v>391</v>
      </c>
      <c r="C1" s="394"/>
      <c r="D1" s="395"/>
    </row>
    <row r="2" spans="1:12" ht="15" thickBot="1">
      <c r="A2" s="392"/>
      <c r="K2" s="394" t="s">
        <v>101</v>
      </c>
      <c r="L2" s="395" t="str">
        <f>'1_推計値サマリ'!R2</f>
        <v>2021/03/31</v>
      </c>
    </row>
    <row r="3" spans="1:12" ht="14.25" thickBot="1">
      <c r="I3" s="1040" t="s">
        <v>69</v>
      </c>
      <c r="J3" s="1041"/>
      <c r="K3" s="1095" t="str">
        <f>'1_推計値サマリ'!Q3</f>
        <v>珠洲市</v>
      </c>
      <c r="L3" s="1096"/>
    </row>
    <row r="4" spans="1:12" ht="14.25" thickBot="1">
      <c r="I4" s="1040" t="s">
        <v>70</v>
      </c>
      <c r="J4" s="1041"/>
      <c r="K4" s="1042" t="str">
        <f>'1_推計値サマリ'!Q4</f>
        <v>17205</v>
      </c>
      <c r="L4" s="1043"/>
    </row>
    <row r="5" spans="1:12" ht="31.5" customHeight="1" thickBot="1">
      <c r="I5" s="1044" t="s">
        <v>106</v>
      </c>
      <c r="J5" s="1045"/>
      <c r="K5" s="1046" t="str">
        <f>'1_推計値サマリ'!Q5</f>
        <v>20210312第4回目</v>
      </c>
      <c r="L5" s="1039"/>
    </row>
    <row r="6" spans="1:12">
      <c r="C6" s="394"/>
      <c r="D6" s="394"/>
    </row>
    <row r="7" spans="1:12" ht="14.25" thickBot="1">
      <c r="A7" s="393" t="s">
        <v>77</v>
      </c>
      <c r="C7" s="394"/>
      <c r="D7" s="394"/>
    </row>
    <row r="8" spans="1:12" ht="125.1" customHeight="1" thickBot="1">
      <c r="A8" s="1082" t="s">
        <v>313</v>
      </c>
      <c r="B8" s="1083"/>
      <c r="C8" s="1083"/>
      <c r="D8" s="1083"/>
      <c r="E8" s="1084"/>
      <c r="F8" s="1084"/>
      <c r="G8" s="1084"/>
      <c r="H8" s="1084"/>
      <c r="I8" s="1084"/>
      <c r="J8" s="1084"/>
      <c r="K8" s="1084"/>
      <c r="L8" s="1085"/>
    </row>
    <row r="9" spans="1:12" ht="27" customHeight="1" thickBot="1">
      <c r="A9" s="396" t="s">
        <v>116</v>
      </c>
      <c r="B9" s="397"/>
      <c r="C9" s="394"/>
      <c r="D9" s="394"/>
    </row>
    <row r="10" spans="1:12" ht="27" customHeight="1" thickBot="1">
      <c r="A10" s="398" t="s">
        <v>117</v>
      </c>
      <c r="B10" s="1092" t="s">
        <v>429</v>
      </c>
      <c r="C10" s="1093"/>
      <c r="D10" s="1093"/>
      <c r="E10" s="1093"/>
      <c r="F10" s="1093"/>
      <c r="G10" s="1093"/>
      <c r="H10" s="1093"/>
      <c r="I10" s="1093"/>
      <c r="J10" s="1093"/>
      <c r="K10" s="1093"/>
      <c r="L10" s="1094"/>
    </row>
    <row r="11" spans="1:12" ht="27" customHeight="1" thickBot="1">
      <c r="A11" s="398" t="s">
        <v>118</v>
      </c>
      <c r="B11" s="1092" t="s">
        <v>430</v>
      </c>
      <c r="C11" s="1093"/>
      <c r="D11" s="1093"/>
      <c r="E11" s="1093"/>
      <c r="F11" s="1093"/>
      <c r="G11" s="1093"/>
      <c r="H11" s="1093"/>
      <c r="I11" s="1093"/>
      <c r="J11" s="1093"/>
      <c r="K11" s="1093"/>
      <c r="L11" s="1094"/>
    </row>
    <row r="12" spans="1:12" ht="27" customHeight="1" thickBot="1">
      <c r="A12" s="396" t="s">
        <v>119</v>
      </c>
      <c r="B12" s="397"/>
      <c r="C12" s="394"/>
      <c r="D12" s="394"/>
    </row>
    <row r="13" spans="1:12" ht="23.25" customHeight="1" thickBot="1">
      <c r="A13" s="398" t="s">
        <v>104</v>
      </c>
      <c r="B13" s="1092" t="s">
        <v>431</v>
      </c>
      <c r="C13" s="1093"/>
      <c r="D13" s="1093"/>
      <c r="E13" s="1093"/>
      <c r="F13" s="1093"/>
      <c r="G13" s="1093"/>
      <c r="H13" s="1093"/>
      <c r="I13" s="1093"/>
      <c r="J13" s="1093"/>
      <c r="K13" s="1093"/>
      <c r="L13" s="1094"/>
    </row>
    <row r="14" spans="1:12" ht="23.25" customHeight="1" thickBot="1">
      <c r="A14" s="399"/>
      <c r="B14" s="1086" t="s">
        <v>272</v>
      </c>
      <c r="C14" s="1086"/>
      <c r="D14" s="1086"/>
      <c r="E14" s="1087"/>
      <c r="F14" s="1087"/>
      <c r="G14" s="1087"/>
      <c r="H14" s="1087"/>
      <c r="I14" s="1087"/>
      <c r="J14" s="1087"/>
      <c r="K14" s="1087"/>
      <c r="L14" s="1087"/>
    </row>
    <row r="15" spans="1:12" ht="23.25" customHeight="1" thickBot="1">
      <c r="A15" s="1090" t="s">
        <v>76</v>
      </c>
      <c r="B15" s="1088"/>
      <c r="C15" s="1088"/>
      <c r="D15" s="1088"/>
      <c r="E15" s="1089"/>
      <c r="F15" s="1089"/>
      <c r="G15" s="1089"/>
      <c r="H15" s="1089"/>
      <c r="I15" s="1089"/>
      <c r="J15" s="1089"/>
      <c r="K15" s="1089"/>
      <c r="L15" s="1089"/>
    </row>
    <row r="16" spans="1:12" ht="125.1" customHeight="1" thickBot="1">
      <c r="A16" s="1091"/>
      <c r="B16" s="1088"/>
      <c r="C16" s="1088"/>
      <c r="D16" s="1088"/>
      <c r="E16" s="1089"/>
      <c r="F16" s="1089"/>
      <c r="G16" s="1089"/>
      <c r="H16" s="1089"/>
      <c r="I16" s="1089"/>
      <c r="J16" s="1089"/>
      <c r="K16" s="1089"/>
      <c r="L16" s="1089"/>
    </row>
    <row r="17" spans="1:12" ht="23.25" customHeight="1" thickBot="1">
      <c r="A17" s="400"/>
      <c r="B17" s="1058" t="s">
        <v>95</v>
      </c>
      <c r="C17" s="1059"/>
      <c r="D17" s="1059"/>
      <c r="E17" s="1059"/>
      <c r="F17" s="1059"/>
      <c r="G17" s="1059"/>
      <c r="H17" s="1059"/>
      <c r="I17" s="1059"/>
      <c r="J17" s="1059"/>
      <c r="K17" s="1059"/>
      <c r="L17" s="1060"/>
    </row>
    <row r="18" spans="1:12" ht="125.1" customHeight="1" thickBot="1">
      <c r="A18" s="401" t="s">
        <v>268</v>
      </c>
      <c r="B18" s="1097" t="s">
        <v>432</v>
      </c>
      <c r="C18" s="1098"/>
      <c r="D18" s="1098"/>
      <c r="E18" s="1098"/>
      <c r="F18" s="1098"/>
      <c r="G18" s="1098"/>
      <c r="H18" s="1098"/>
      <c r="I18" s="1098"/>
      <c r="J18" s="1098"/>
      <c r="K18" s="1098"/>
      <c r="L18" s="1099"/>
    </row>
    <row r="19" spans="1:12" ht="27" customHeight="1" thickBot="1">
      <c r="A19" s="396" t="s">
        <v>269</v>
      </c>
      <c r="B19" s="397"/>
      <c r="C19" s="394"/>
      <c r="D19" s="394"/>
    </row>
    <row r="20" spans="1:12" ht="23.25" customHeight="1">
      <c r="A20" s="402" t="s">
        <v>103</v>
      </c>
      <c r="B20" s="1070" t="s">
        <v>431</v>
      </c>
      <c r="C20" s="1071"/>
      <c r="D20" s="1071"/>
      <c r="E20" s="1071"/>
      <c r="F20" s="1071"/>
      <c r="G20" s="1071"/>
      <c r="H20" s="1071"/>
      <c r="I20" s="1071"/>
      <c r="J20" s="1071"/>
      <c r="K20" s="1071"/>
      <c r="L20" s="1072"/>
    </row>
    <row r="21" spans="1:12" ht="23.25" customHeight="1" thickBot="1">
      <c r="A21" s="403" t="s">
        <v>105</v>
      </c>
      <c r="B21" s="1076" t="s">
        <v>433</v>
      </c>
      <c r="C21" s="1077"/>
      <c r="D21" s="1077"/>
      <c r="E21" s="1077"/>
      <c r="F21" s="1077"/>
      <c r="G21" s="1077"/>
      <c r="H21" s="1077"/>
      <c r="I21" s="1077"/>
      <c r="J21" s="1077"/>
      <c r="K21" s="1077"/>
      <c r="L21" s="1078"/>
    </row>
    <row r="22" spans="1:12" ht="23.25" customHeight="1" thickBot="1">
      <c r="A22" s="400"/>
      <c r="B22" s="1058" t="s">
        <v>120</v>
      </c>
      <c r="C22" s="1059"/>
      <c r="D22" s="1059"/>
      <c r="E22" s="1059"/>
      <c r="F22" s="1059"/>
      <c r="G22" s="1059"/>
      <c r="H22" s="1059"/>
      <c r="I22" s="1059"/>
      <c r="J22" s="1059"/>
      <c r="K22" s="1059"/>
      <c r="L22" s="1060"/>
    </row>
    <row r="23" spans="1:12" ht="125.1" customHeight="1" thickBot="1">
      <c r="A23" s="404" t="s">
        <v>121</v>
      </c>
      <c r="B23" s="1064"/>
      <c r="C23" s="1065"/>
      <c r="D23" s="1065"/>
      <c r="E23" s="1065"/>
      <c r="F23" s="1065"/>
      <c r="G23" s="1065"/>
      <c r="H23" s="1065"/>
      <c r="I23" s="1065"/>
      <c r="J23" s="1065"/>
      <c r="K23" s="1065"/>
      <c r="L23" s="1066"/>
    </row>
    <row r="24" spans="1:12" ht="23.25" customHeight="1" thickBot="1">
      <c r="A24" s="400"/>
      <c r="B24" s="1058" t="s">
        <v>270</v>
      </c>
      <c r="C24" s="1059"/>
      <c r="D24" s="1059"/>
      <c r="E24" s="1059"/>
      <c r="F24" s="1059"/>
      <c r="G24" s="1059"/>
      <c r="H24" s="1059"/>
      <c r="I24" s="1059"/>
      <c r="J24" s="1059"/>
      <c r="K24" s="1059"/>
      <c r="L24" s="1060"/>
    </row>
    <row r="25" spans="1:12" ht="125.1" customHeight="1" thickBot="1">
      <c r="A25" s="405" t="s">
        <v>273</v>
      </c>
      <c r="B25" s="1064"/>
      <c r="C25" s="1065"/>
      <c r="D25" s="1065"/>
      <c r="E25" s="1065"/>
      <c r="F25" s="1065"/>
      <c r="G25" s="1065"/>
      <c r="H25" s="1065"/>
      <c r="I25" s="1065"/>
      <c r="J25" s="1065"/>
      <c r="K25" s="1065"/>
      <c r="L25" s="1066"/>
    </row>
    <row r="26" spans="1:12" ht="23.25" customHeight="1" thickBot="1">
      <c r="A26" s="400"/>
      <c r="B26" s="1058" t="s">
        <v>95</v>
      </c>
      <c r="C26" s="1059"/>
      <c r="D26" s="1059"/>
      <c r="E26" s="1059"/>
      <c r="F26" s="1059"/>
      <c r="G26" s="1059"/>
      <c r="H26" s="1059"/>
      <c r="I26" s="1059"/>
      <c r="J26" s="1059"/>
      <c r="K26" s="1059"/>
      <c r="L26" s="1060"/>
    </row>
    <row r="27" spans="1:12" ht="125.1" customHeight="1">
      <c r="A27" s="404" t="s">
        <v>100</v>
      </c>
      <c r="B27" s="1064"/>
      <c r="C27" s="1065"/>
      <c r="D27" s="1065"/>
      <c r="E27" s="1065"/>
      <c r="F27" s="1065"/>
      <c r="G27" s="1065"/>
      <c r="H27" s="1065"/>
      <c r="I27" s="1065"/>
      <c r="J27" s="1065"/>
      <c r="K27" s="1065"/>
      <c r="L27" s="1066"/>
    </row>
    <row r="28" spans="1:12" ht="125.1" customHeight="1">
      <c r="A28" s="406" t="s">
        <v>99</v>
      </c>
      <c r="B28" s="1079" t="s">
        <v>434</v>
      </c>
      <c r="C28" s="1080"/>
      <c r="D28" s="1080"/>
      <c r="E28" s="1080"/>
      <c r="F28" s="1080"/>
      <c r="G28" s="1080"/>
      <c r="H28" s="1080"/>
      <c r="I28" s="1080"/>
      <c r="J28" s="1080"/>
      <c r="K28" s="1080"/>
      <c r="L28" s="1081"/>
    </row>
    <row r="29" spans="1:12" ht="125.1" customHeight="1" thickBot="1">
      <c r="A29" s="407" t="s">
        <v>98</v>
      </c>
      <c r="B29" s="1067" t="s">
        <v>435</v>
      </c>
      <c r="C29" s="1068"/>
      <c r="D29" s="1068"/>
      <c r="E29" s="1068"/>
      <c r="F29" s="1068"/>
      <c r="G29" s="1068"/>
      <c r="H29" s="1068"/>
      <c r="I29" s="1068"/>
      <c r="J29" s="1068"/>
      <c r="K29" s="1068"/>
      <c r="L29" s="1069"/>
    </row>
    <row r="30" spans="1:12" ht="27" customHeight="1" thickBot="1">
      <c r="A30" s="396" t="s">
        <v>249</v>
      </c>
      <c r="B30" s="397"/>
      <c r="C30" s="394"/>
      <c r="D30" s="394"/>
    </row>
    <row r="31" spans="1:12" ht="23.25" customHeight="1">
      <c r="A31" s="402" t="s">
        <v>103</v>
      </c>
      <c r="B31" s="1070" t="s">
        <v>431</v>
      </c>
      <c r="C31" s="1071"/>
      <c r="D31" s="1071"/>
      <c r="E31" s="1071"/>
      <c r="F31" s="1071"/>
      <c r="G31" s="1071"/>
      <c r="H31" s="1071"/>
      <c r="I31" s="1071"/>
      <c r="J31" s="1071"/>
      <c r="K31" s="1071"/>
      <c r="L31" s="1072"/>
    </row>
    <row r="32" spans="1:12" ht="23.25" customHeight="1">
      <c r="A32" s="408" t="s">
        <v>102</v>
      </c>
      <c r="B32" s="1073" t="s">
        <v>431</v>
      </c>
      <c r="C32" s="1074"/>
      <c r="D32" s="1074"/>
      <c r="E32" s="1074"/>
      <c r="F32" s="1074"/>
      <c r="G32" s="1074"/>
      <c r="H32" s="1074"/>
      <c r="I32" s="1074"/>
      <c r="J32" s="1074"/>
      <c r="K32" s="1074"/>
      <c r="L32" s="1075"/>
    </row>
    <row r="33" spans="1:12" ht="23.25" customHeight="1" thickBot="1">
      <c r="A33" s="403" t="s">
        <v>105</v>
      </c>
      <c r="B33" s="1076" t="s">
        <v>433</v>
      </c>
      <c r="C33" s="1077"/>
      <c r="D33" s="1077"/>
      <c r="E33" s="1077"/>
      <c r="F33" s="1077"/>
      <c r="G33" s="1077"/>
      <c r="H33" s="1077"/>
      <c r="I33" s="1077"/>
      <c r="J33" s="1077"/>
      <c r="K33" s="1077"/>
      <c r="L33" s="1078"/>
    </row>
    <row r="34" spans="1:12" ht="23.25" customHeight="1" thickBot="1">
      <c r="A34" s="400"/>
      <c r="B34" s="1058" t="s">
        <v>270</v>
      </c>
      <c r="C34" s="1059"/>
      <c r="D34" s="1059"/>
      <c r="E34" s="1059"/>
      <c r="F34" s="1059"/>
      <c r="G34" s="1059"/>
      <c r="H34" s="1059"/>
      <c r="I34" s="1059"/>
      <c r="J34" s="1059"/>
      <c r="K34" s="1059"/>
      <c r="L34" s="1060"/>
    </row>
    <row r="35" spans="1:12" ht="125.1" customHeight="1" thickBot="1">
      <c r="A35" s="409" t="s">
        <v>275</v>
      </c>
      <c r="B35" s="1061"/>
      <c r="C35" s="1062"/>
      <c r="D35" s="1062"/>
      <c r="E35" s="1062"/>
      <c r="F35" s="1062"/>
      <c r="G35" s="1062"/>
      <c r="H35" s="1062"/>
      <c r="I35" s="1062"/>
      <c r="J35" s="1062"/>
      <c r="K35" s="1062"/>
      <c r="L35" s="1063"/>
    </row>
    <row r="36" spans="1:12" ht="23.25" customHeight="1" thickBot="1">
      <c r="A36" s="400"/>
      <c r="B36" s="1058" t="s">
        <v>271</v>
      </c>
      <c r="C36" s="1059"/>
      <c r="D36" s="1059"/>
      <c r="E36" s="1059"/>
      <c r="F36" s="1059"/>
      <c r="G36" s="1059"/>
      <c r="H36" s="1059"/>
      <c r="I36" s="1059"/>
      <c r="J36" s="1059"/>
      <c r="K36" s="1059"/>
      <c r="L36" s="1060"/>
    </row>
    <row r="37" spans="1:12" ht="125.1" customHeight="1" thickBot="1">
      <c r="A37" s="409" t="s">
        <v>276</v>
      </c>
      <c r="B37" s="1061"/>
      <c r="C37" s="1062"/>
      <c r="D37" s="1062"/>
      <c r="E37" s="1062"/>
      <c r="F37" s="1062"/>
      <c r="G37" s="1062"/>
      <c r="H37" s="1062"/>
      <c r="I37" s="1062"/>
      <c r="J37" s="1062"/>
      <c r="K37" s="1062"/>
      <c r="L37" s="1063"/>
    </row>
    <row r="38" spans="1:12" ht="23.25" customHeight="1" thickBot="1">
      <c r="A38" s="400"/>
      <c r="B38" s="1058" t="s">
        <v>120</v>
      </c>
      <c r="C38" s="1059"/>
      <c r="D38" s="1059"/>
      <c r="E38" s="1059"/>
      <c r="F38" s="1059"/>
      <c r="G38" s="1059"/>
      <c r="H38" s="1059"/>
      <c r="I38" s="1059"/>
      <c r="J38" s="1059"/>
      <c r="K38" s="1059"/>
      <c r="L38" s="1060"/>
    </row>
    <row r="39" spans="1:12" ht="125.1" customHeight="1" thickBot="1">
      <c r="A39" s="409" t="s">
        <v>274</v>
      </c>
      <c r="B39" s="1061"/>
      <c r="C39" s="1062"/>
      <c r="D39" s="1062"/>
      <c r="E39" s="1062"/>
      <c r="F39" s="1062"/>
      <c r="G39" s="1062"/>
      <c r="H39" s="1062"/>
      <c r="I39" s="1062"/>
      <c r="J39" s="1062"/>
      <c r="K39" s="1062"/>
      <c r="L39" s="1063"/>
    </row>
    <row r="40" spans="1:12" ht="23.25" customHeight="1" thickBot="1">
      <c r="A40" s="400"/>
      <c r="B40" s="1058" t="s">
        <v>95</v>
      </c>
      <c r="C40" s="1059"/>
      <c r="D40" s="1059"/>
      <c r="E40" s="1059"/>
      <c r="F40" s="1059"/>
      <c r="G40" s="1059"/>
      <c r="H40" s="1059"/>
      <c r="I40" s="1059"/>
      <c r="J40" s="1059"/>
      <c r="K40" s="1059"/>
      <c r="L40" s="1060"/>
    </row>
    <row r="41" spans="1:12" ht="125.1" customHeight="1">
      <c r="A41" s="409" t="s">
        <v>277</v>
      </c>
      <c r="B41" s="1061" t="s">
        <v>436</v>
      </c>
      <c r="C41" s="1062"/>
      <c r="D41" s="1062"/>
      <c r="E41" s="1062"/>
      <c r="F41" s="1062"/>
      <c r="G41" s="1062"/>
      <c r="H41" s="1062"/>
      <c r="I41" s="1062"/>
      <c r="J41" s="1062"/>
      <c r="K41" s="1062"/>
      <c r="L41" s="1063"/>
    </row>
    <row r="42" spans="1:12" ht="125.1" customHeight="1" thickBot="1">
      <c r="A42" s="410" t="s">
        <v>278</v>
      </c>
      <c r="B42" s="1067" t="s">
        <v>437</v>
      </c>
      <c r="C42" s="1068"/>
      <c r="D42" s="1068"/>
      <c r="E42" s="1068"/>
      <c r="F42" s="1068"/>
      <c r="G42" s="1068"/>
      <c r="H42" s="1068"/>
      <c r="I42" s="1068"/>
      <c r="J42" s="1068"/>
      <c r="K42" s="1068"/>
      <c r="L42" s="1069"/>
    </row>
    <row r="43" spans="1:12" ht="27" customHeight="1" thickBot="1">
      <c r="A43" s="396" t="s">
        <v>389</v>
      </c>
    </row>
    <row r="44" spans="1:12" ht="23.25" customHeight="1" thickBot="1">
      <c r="A44" s="400"/>
      <c r="B44" s="1058" t="s">
        <v>95</v>
      </c>
      <c r="C44" s="1059"/>
      <c r="D44" s="1059"/>
      <c r="E44" s="1059"/>
      <c r="F44" s="1059"/>
      <c r="G44" s="1059"/>
      <c r="H44" s="1059"/>
      <c r="I44" s="1059"/>
      <c r="J44" s="1059"/>
      <c r="K44" s="1059"/>
      <c r="L44" s="1060"/>
    </row>
    <row r="45" spans="1:12" ht="125.1" customHeight="1">
      <c r="A45" s="995" t="s">
        <v>388</v>
      </c>
      <c r="B45" s="1061"/>
      <c r="C45" s="1062"/>
      <c r="D45" s="1062"/>
      <c r="E45" s="1062"/>
      <c r="F45" s="1062"/>
      <c r="G45" s="1062"/>
      <c r="H45" s="1062"/>
      <c r="I45" s="1062"/>
      <c r="J45" s="1062"/>
      <c r="K45" s="1062"/>
      <c r="L45" s="1063"/>
    </row>
    <row r="46" spans="1:12" ht="27" customHeight="1" thickBot="1">
      <c r="A46" s="396" t="s">
        <v>418</v>
      </c>
      <c r="B46" s="397"/>
      <c r="C46" s="394"/>
      <c r="D46" s="394"/>
    </row>
    <row r="47" spans="1:12" ht="125.1" customHeight="1">
      <c r="A47" s="409" t="s">
        <v>267</v>
      </c>
      <c r="B47" s="1061"/>
      <c r="C47" s="1062"/>
      <c r="D47" s="1062"/>
      <c r="E47" s="1062"/>
      <c r="F47" s="1062"/>
      <c r="G47" s="1062"/>
      <c r="H47" s="1062"/>
      <c r="I47" s="1062"/>
      <c r="J47" s="1062"/>
      <c r="K47" s="1062"/>
      <c r="L47" s="1063"/>
    </row>
    <row r="52" spans="2:2">
      <c r="B52" s="397"/>
    </row>
    <row r="68" ht="13.5" customHeight="1"/>
    <row r="108" ht="13.5" customHeight="1"/>
    <row r="147" ht="13.5" customHeight="1"/>
  </sheetData>
  <mergeCells count="40">
    <mergeCell ref="B45:L45"/>
    <mergeCell ref="B44:L44"/>
    <mergeCell ref="B18:L18"/>
    <mergeCell ref="B20:L20"/>
    <mergeCell ref="B21:L21"/>
    <mergeCell ref="B24:L24"/>
    <mergeCell ref="B25:L25"/>
    <mergeCell ref="B38:L38"/>
    <mergeCell ref="B39:L39"/>
    <mergeCell ref="B36:L36"/>
    <mergeCell ref="B37:L37"/>
    <mergeCell ref="I3:J3"/>
    <mergeCell ref="K3:L3"/>
    <mergeCell ref="I4:J4"/>
    <mergeCell ref="K4:L4"/>
    <mergeCell ref="I5:J5"/>
    <mergeCell ref="K5:L5"/>
    <mergeCell ref="A8:L8"/>
    <mergeCell ref="B14:L14"/>
    <mergeCell ref="B15:L16"/>
    <mergeCell ref="A15:A16"/>
    <mergeCell ref="B13:L13"/>
    <mergeCell ref="B10:L10"/>
    <mergeCell ref="B11:L11"/>
    <mergeCell ref="B17:L17"/>
    <mergeCell ref="B47:L47"/>
    <mergeCell ref="B22:L22"/>
    <mergeCell ref="B23:L23"/>
    <mergeCell ref="B34:L34"/>
    <mergeCell ref="B35:L35"/>
    <mergeCell ref="B41:L41"/>
    <mergeCell ref="B42:L42"/>
    <mergeCell ref="B26:L26"/>
    <mergeCell ref="B40:L40"/>
    <mergeCell ref="B31:L31"/>
    <mergeCell ref="B32:L32"/>
    <mergeCell ref="B33:L33"/>
    <mergeCell ref="B27:L27"/>
    <mergeCell ref="B28:L28"/>
    <mergeCell ref="B29:L29"/>
  </mergeCells>
  <phoneticPr fontId="3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254"/>
  <sheetViews>
    <sheetView view="pageBreakPreview" zoomScale="85" zoomScaleNormal="85" zoomScaleSheetLayoutView="85" workbookViewId="0">
      <selection activeCell="P1" sqref="P1"/>
    </sheetView>
  </sheetViews>
  <sheetFormatPr defaultRowHeight="13.5"/>
  <cols>
    <col min="1" max="2" customWidth="true" style="205" width="2.625" collapsed="false"/>
    <col min="3" max="3" customWidth="true" style="205" width="15.625" collapsed="false"/>
    <col min="4" max="4" customWidth="true" style="205" width="21.125" collapsed="false"/>
    <col min="5" max="5" customWidth="true" style="205" width="20.25" collapsed="false"/>
    <col min="6" max="6" customWidth="true" style="205" width="17.0" collapsed="false"/>
    <col min="7" max="16" customWidth="true" style="205" width="14.625" collapsed="false"/>
    <col min="17" max="16384" style="205" width="9.0" collapsed="false"/>
  </cols>
  <sheetData>
    <row r="1" spans="1:15" ht="14.25">
      <c r="A1" s="803" t="s">
        <v>392</v>
      </c>
      <c r="B1" s="204"/>
      <c r="C1" s="835"/>
      <c r="D1" s="835"/>
      <c r="E1" s="835"/>
      <c r="F1" s="835"/>
      <c r="G1" s="835"/>
      <c r="H1" s="835"/>
    </row>
    <row r="2" spans="1:15" s="207" customFormat="1" ht="15" thickBot="1">
      <c r="A2" s="206"/>
      <c r="J2" s="208"/>
    </row>
    <row r="3" spans="1:15" ht="14.25" thickBot="1">
      <c r="B3" s="209"/>
      <c r="N3" s="833" t="s">
        <v>69</v>
      </c>
      <c r="O3" s="210" t="str">
        <f>'1_推計値サマリ'!Q3</f>
        <v>珠洲市</v>
      </c>
    </row>
    <row r="4" spans="1:15" ht="14.25" thickBot="1">
      <c r="B4" s="209"/>
      <c r="N4" s="691" t="s">
        <v>70</v>
      </c>
      <c r="O4" s="211" t="str">
        <f>'1_推計値サマリ'!Q4</f>
        <v>17205</v>
      </c>
    </row>
    <row r="5" spans="1:15" ht="14.25" thickBot="1">
      <c r="B5" s="209"/>
      <c r="N5" s="212" t="s">
        <v>106</v>
      </c>
      <c r="O5" s="213" t="str">
        <f>'1_推計値サマリ'!Q5</f>
        <v>20210312第4回目</v>
      </c>
    </row>
    <row r="6" spans="1:15">
      <c r="B6" s="209"/>
      <c r="J6" s="214"/>
    </row>
    <row r="7" spans="1:15" ht="14.25" thickBot="1">
      <c r="A7" s="215" t="s">
        <v>302</v>
      </c>
      <c r="B7" s="209"/>
    </row>
    <row r="8" spans="1:15" ht="14.25" thickBot="1">
      <c r="A8" s="216" t="s">
        <v>303</v>
      </c>
      <c r="B8" s="217"/>
      <c r="C8" s="217"/>
      <c r="D8" s="217"/>
      <c r="E8" s="217"/>
      <c r="F8" s="760" t="n">
        <v>6399.732953049469</v>
      </c>
      <c r="G8" s="218"/>
    </row>
    <row r="9" spans="1:15">
      <c r="A9" s="214"/>
      <c r="B9" s="214"/>
      <c r="C9" s="214"/>
      <c r="D9" s="214"/>
      <c r="E9" s="214"/>
      <c r="F9" s="214"/>
      <c r="G9" s="218"/>
      <c r="H9" s="218"/>
      <c r="I9" s="218"/>
      <c r="J9" s="218"/>
    </row>
    <row r="10" spans="1:15" ht="14.25" thickBot="1">
      <c r="A10" s="215" t="s">
        <v>134</v>
      </c>
      <c r="B10" s="219"/>
      <c r="C10" s="219"/>
      <c r="D10" s="219"/>
      <c r="E10" s="219"/>
      <c r="F10" s="219"/>
      <c r="G10" s="219"/>
      <c r="H10" s="219"/>
      <c r="I10" s="219"/>
      <c r="J10" s="219"/>
    </row>
    <row r="11" spans="1:15" ht="14.25" thickBot="1">
      <c r="A11" s="220"/>
      <c r="B11" s="221"/>
      <c r="C11" s="221"/>
      <c r="D11" s="221"/>
      <c r="E11" s="221"/>
      <c r="F11" s="691" t="s">
        <v>385</v>
      </c>
      <c r="G11" s="738" t="s">
        <v>293</v>
      </c>
      <c r="H11" s="738" t="s">
        <v>323</v>
      </c>
      <c r="I11" s="738" t="s">
        <v>324</v>
      </c>
      <c r="J11" s="844" t="s">
        <v>325</v>
      </c>
    </row>
    <row r="12" spans="1:15">
      <c r="A12" s="223" t="s">
        <v>242</v>
      </c>
      <c r="B12" s="224"/>
      <c r="C12" s="224"/>
      <c r="D12" s="224"/>
      <c r="E12" s="224"/>
      <c r="F12" s="692" t="n">
        <f>F101/F102/F188/12</f>
        <v>6400.118035924776</v>
      </c>
      <c r="G12" s="739" t="n">
        <f>J101/J102/J188/12</f>
        <v>6400.375866888469</v>
      </c>
      <c r="H12" s="883" t="n">
        <f>K101/K102/K188/12</f>
        <v>6699.646132714092</v>
      </c>
      <c r="I12" s="883" t="n">
        <f>L101/L102/L188/12</f>
        <v>7299.694194671055</v>
      </c>
      <c r="J12" s="884" t="n">
        <f>M101/M102/M188/12</f>
        <v>7600.3183036077</v>
      </c>
    </row>
    <row r="13" spans="1:15">
      <c r="A13" s="225" t="s">
        <v>135</v>
      </c>
      <c r="B13" s="224"/>
      <c r="C13" s="224"/>
      <c r="D13" s="224"/>
      <c r="E13" s="224"/>
      <c r="F13" s="693" t="n">
        <f>(F101+F15)/F102/F188/12-F12</f>
        <v>83.22555270016619</v>
      </c>
      <c r="G13" s="739" t="n">
        <f>(J101+G15)/J102/J188/12-G12</f>
        <v>32.77046819114457</v>
      </c>
      <c r="H13" s="883" t="n">
        <f>(K101+H15)/K102/K188/12-H12</f>
        <v>181.1624197699839</v>
      </c>
      <c r="I13" s="883" t="n">
        <f>(L101+I15)/L102/L188/12-I12</f>
        <v>252.01591241872302</v>
      </c>
      <c r="J13" s="884" t="n">
        <f>(M101+J15)/M102/M188/12-J12</f>
        <v>252.3909781348193</v>
      </c>
    </row>
    <row r="14" spans="1:15">
      <c r="A14" s="226"/>
      <c r="B14" s="227" t="s">
        <v>136</v>
      </c>
      <c r="C14" s="227"/>
      <c r="D14" s="227"/>
      <c r="E14" s="227"/>
      <c r="F14" s="705" t="n">
        <v>7.5E7</v>
      </c>
      <c r="G14" s="712" t="n">
        <v>3.0E7</v>
      </c>
      <c r="H14" s="885" t="n">
        <v>3.0E7</v>
      </c>
      <c r="I14" s="885" t="n">
        <v>3.0E7</v>
      </c>
      <c r="J14" s="886" t="n">
        <v>3.0E7</v>
      </c>
    </row>
    <row r="15" spans="1:15">
      <c r="A15" s="226"/>
      <c r="B15" s="227" t="s">
        <v>137</v>
      </c>
      <c r="C15" s="227"/>
      <c r="D15" s="227"/>
      <c r="E15" s="227"/>
      <c r="F15" s="705" t="n">
        <v>1.95E7</v>
      </c>
      <c r="G15" s="712" t="n">
        <v>2500000.0</v>
      </c>
      <c r="H15" s="885" t="n">
        <v>1.3E7</v>
      </c>
      <c r="I15" s="885" t="n">
        <v>1.7E7</v>
      </c>
      <c r="J15" s="886" t="n">
        <v>1.6E7</v>
      </c>
    </row>
    <row r="16" spans="1:15">
      <c r="A16" s="228"/>
      <c r="B16" s="224" t="s">
        <v>138</v>
      </c>
      <c r="C16" s="224"/>
      <c r="D16" s="224"/>
      <c r="E16" s="224"/>
      <c r="F16" s="694" t="n">
        <f>IF(F14=0,0, F15/F14)</f>
        <v>0.26</v>
      </c>
      <c r="G16" s="740" t="n">
        <f>IF(G14=0,0,G15/G14)</f>
        <v>0.08333333333333333</v>
      </c>
      <c r="H16" s="887" t="n">
        <f>IF(H14=0,0,H15/H14)</f>
        <v>0.43333333333333335</v>
      </c>
      <c r="I16" s="887" t="n">
        <f>IF(I14=0,0,I15/I14)</f>
        <v>0.5666666666666667</v>
      </c>
      <c r="J16" s="888" t="n">
        <f>IF(J14=0,0,J15/J14)</f>
        <v>0.5333333333333333</v>
      </c>
    </row>
    <row r="17" spans="1:13">
      <c r="A17" s="225" t="s">
        <v>139</v>
      </c>
      <c r="B17" s="224"/>
      <c r="C17" s="224"/>
      <c r="D17" s="224"/>
      <c r="E17" s="224"/>
      <c r="F17" s="693" t="n">
        <f>F12-(F101-F18)/F102/F188/12</f>
        <v>0.0</v>
      </c>
      <c r="G17" s="739" t="n">
        <f>G12-(J101-G18)/J102/J188/12</f>
        <v>0.0</v>
      </c>
      <c r="H17" s="883" t="n">
        <f>H12-(K101-H18)/K102/K188/12</f>
        <v>0.0</v>
      </c>
      <c r="I17" s="883" t="n">
        <f>I12-(L101-I18)/L102/L188/12</f>
        <v>0.0</v>
      </c>
      <c r="J17" s="884" t="n">
        <f>J12-(M101-J18)/M102/M188/12</f>
        <v>0.0</v>
      </c>
    </row>
    <row r="18" spans="1:13">
      <c r="A18" s="226"/>
      <c r="B18" s="224" t="s">
        <v>140</v>
      </c>
      <c r="C18" s="224"/>
      <c r="D18" s="224"/>
      <c r="E18" s="224"/>
      <c r="F18" s="693" t="n">
        <f>(F68+F84)*F19</f>
        <v>0.0</v>
      </c>
      <c r="G18" s="739" t="n">
        <f>(J68+J84)*G19</f>
        <v>0.0</v>
      </c>
      <c r="H18" s="883" t="n">
        <f>(K68+K84)*H19</f>
        <v>0.0</v>
      </c>
      <c r="I18" s="883" t="n">
        <f>(L68+L84)*I19</f>
        <v>0.0</v>
      </c>
      <c r="J18" s="884" t="n">
        <f>(M68+M84)*J19</f>
        <v>0.0</v>
      </c>
    </row>
    <row r="19" spans="1:13">
      <c r="A19" s="228"/>
      <c r="B19" s="227" t="s">
        <v>141</v>
      </c>
      <c r="C19" s="227"/>
      <c r="D19" s="227"/>
      <c r="E19" s="227"/>
      <c r="F19" s="695" t="n">
        <v>0.0</v>
      </c>
      <c r="G19" s="743" t="n">
        <v>0.0</v>
      </c>
      <c r="H19" s="889" t="n">
        <v>0.0</v>
      </c>
      <c r="I19" s="889" t="n">
        <v>0.0</v>
      </c>
      <c r="J19" s="890" t="n">
        <v>0.0</v>
      </c>
    </row>
    <row r="20" spans="1:13">
      <c r="A20" s="225" t="s">
        <v>142</v>
      </c>
      <c r="B20" s="224"/>
      <c r="C20" s="224"/>
      <c r="D20" s="224"/>
      <c r="E20" s="224"/>
      <c r="F20" s="693" t="n">
        <f>F12-(F101-F21)/F102/F188/12</f>
        <v>0.0</v>
      </c>
      <c r="G20" s="739" t="n">
        <f>G12-(J101-G21)/J102/J188/12</f>
        <v>0.0</v>
      </c>
      <c r="H20" s="883" t="n">
        <f>H12-(K101-H21)/K102/K188/12</f>
        <v>0.0</v>
      </c>
      <c r="I20" s="883" t="n">
        <f>I12-(L101-I21)/L102/L188/12</f>
        <v>0.0</v>
      </c>
      <c r="J20" s="884" t="n">
        <f>J12-(M101-J21)/M102/M188/12</f>
        <v>0.0</v>
      </c>
    </row>
    <row r="21" spans="1:13">
      <c r="A21" s="229"/>
      <c r="B21" s="230" t="s">
        <v>143</v>
      </c>
      <c r="C21" s="227"/>
      <c r="D21" s="227"/>
      <c r="E21" s="227"/>
      <c r="F21" s="690" t="n">
        <v>0.0</v>
      </c>
      <c r="G21" s="712" t="n">
        <v>0.0</v>
      </c>
      <c r="H21" s="885" t="n">
        <v>0.0</v>
      </c>
      <c r="I21" s="885" t="n">
        <v>0.0</v>
      </c>
      <c r="J21" s="886" t="n">
        <v>0.0</v>
      </c>
    </row>
    <row r="22" spans="1:13" ht="14.25" thickBot="1">
      <c r="A22" s="231" t="s">
        <v>314</v>
      </c>
      <c r="B22" s="232"/>
      <c r="C22" s="232"/>
      <c r="D22" s="232"/>
      <c r="E22" s="232"/>
      <c r="F22" s="696" t="n">
        <f>F12/$F$8-1</f>
        <v>6.017170999683685E-5</v>
      </c>
      <c r="G22" s="742" t="n">
        <f>G12/$F$8-1</f>
        <v>1.0045947912473707E-4</v>
      </c>
      <c r="H22" s="891" t="n">
        <f>H12/$F$8-1</f>
        <v>0.046863389748429185</v>
      </c>
      <c r="I22" s="891" t="n">
        <f>I12/$F$8-1</f>
        <v>0.14062481172636354</v>
      </c>
      <c r="J22" s="892" t="n">
        <f>J12/$F$8-1</f>
        <v>0.18759928880878585</v>
      </c>
    </row>
    <row r="24" spans="1:13" ht="14.25" thickBot="1">
      <c r="A24" s="215" t="s">
        <v>144</v>
      </c>
      <c r="B24" s="219"/>
      <c r="C24" s="219"/>
      <c r="D24" s="219"/>
      <c r="E24" s="219"/>
      <c r="F24" s="219"/>
      <c r="G24" s="219"/>
      <c r="H24" s="219"/>
      <c r="I24" s="219"/>
      <c r="J24" s="219"/>
    </row>
    <row r="25" spans="1:13" ht="14.25" thickBot="1">
      <c r="A25" s="220"/>
      <c r="B25" s="221"/>
      <c r="C25" s="221"/>
      <c r="D25" s="221"/>
      <c r="E25" s="221"/>
      <c r="F25" s="691" t="s">
        <v>385</v>
      </c>
      <c r="G25" s="738" t="s">
        <v>265</v>
      </c>
      <c r="H25" s="738" t="s">
        <v>326</v>
      </c>
      <c r="I25" s="738" t="s">
        <v>327</v>
      </c>
      <c r="J25" s="844" t="s">
        <v>328</v>
      </c>
    </row>
    <row r="26" spans="1:13">
      <c r="A26" s="223" t="s">
        <v>242</v>
      </c>
      <c r="B26" s="224"/>
      <c r="C26" s="224"/>
      <c r="D26" s="224"/>
      <c r="E26" s="224"/>
      <c r="F26" s="692" t="str">
        <f>IFERROR(F101/F102/F189/12,"－")</f>
        <v>－</v>
      </c>
      <c r="G26" s="739" t="str">
        <f>IFERROR(J101/J102/J189/12,"－")</f>
        <v>－</v>
      </c>
      <c r="H26" s="883" t="str">
        <f t="shared" ref="H26:J26" si="0">IFERROR(K101/K102/K189/12,"－")</f>
        <v>－</v>
      </c>
      <c r="I26" s="883" t="str">
        <f t="shared" si="0"/>
        <v>－</v>
      </c>
      <c r="J26" s="884" t="str">
        <f t="shared" si="0"/>
        <v>－</v>
      </c>
      <c r="L26" s="233"/>
      <c r="M26" s="233"/>
    </row>
    <row r="27" spans="1:13">
      <c r="A27" s="225" t="s">
        <v>135</v>
      </c>
      <c r="B27" s="224"/>
      <c r="C27" s="224"/>
      <c r="D27" s="224"/>
      <c r="E27" s="224"/>
      <c r="F27" s="693" t="str">
        <f>IFERROR((F101+F29)/F102/F189/12-F26,"－")</f>
        <v>－</v>
      </c>
      <c r="G27" s="739" t="str">
        <f>IFERROR((J101+G29)/J102/J189/12-G26,"－")</f>
        <v>－</v>
      </c>
      <c r="H27" s="883" t="str">
        <f>IFERROR((K101+H29)/K102/K189/12-H26,"－")</f>
        <v>－</v>
      </c>
      <c r="I27" s="883" t="str">
        <f>IFERROR((L101+I29)/L102/L189/12-I26,"－")</f>
        <v>－</v>
      </c>
      <c r="J27" s="884" t="str">
        <f>IFERROR((M101+J29)/M102/M189/12-J26,"－")</f>
        <v>－</v>
      </c>
      <c r="L27" s="233"/>
      <c r="M27" s="824"/>
    </row>
    <row r="28" spans="1:13">
      <c r="A28" s="226"/>
      <c r="B28" s="224" t="s">
        <v>136</v>
      </c>
      <c r="C28" s="224"/>
      <c r="D28" s="224"/>
      <c r="E28" s="224"/>
      <c r="F28" s="693" t="str">
        <f>IF(F26="－","－",F14)</f>
        <v>－</v>
      </c>
      <c r="G28" s="739" t="str">
        <f>IF(G26="－","－",G14)</f>
        <v>－</v>
      </c>
      <c r="H28" s="883" t="str">
        <f>IF(H26="－","－",H14)</f>
        <v>－</v>
      </c>
      <c r="I28" s="883" t="str">
        <f>IF(I26="－","－",I14)</f>
        <v>－</v>
      </c>
      <c r="J28" s="884" t="str">
        <f>IF(J26="－","－",J14)</f>
        <v>－</v>
      </c>
      <c r="L28" s="233"/>
    </row>
    <row r="29" spans="1:13">
      <c r="A29" s="226"/>
      <c r="B29" s="224" t="s">
        <v>137</v>
      </c>
      <c r="C29" s="224"/>
      <c r="D29" s="224"/>
      <c r="E29" s="224"/>
      <c r="F29" s="693" t="str">
        <f>IF(F26="－","－",F15)</f>
        <v>－</v>
      </c>
      <c r="G29" s="739" t="str">
        <f>IF(G26="－","－",G15)</f>
        <v>－</v>
      </c>
      <c r="H29" s="883" t="str">
        <f>IF(H26="－","－",H15)</f>
        <v>－</v>
      </c>
      <c r="I29" s="883" t="str">
        <f>IF(I26="－","－",I15)</f>
        <v>－</v>
      </c>
      <c r="J29" s="884" t="str">
        <f>IF(J26="－","－",J15)</f>
        <v>－</v>
      </c>
      <c r="L29" s="233"/>
      <c r="M29" s="233"/>
    </row>
    <row r="30" spans="1:13">
      <c r="A30" s="228"/>
      <c r="B30" s="224" t="s">
        <v>138</v>
      </c>
      <c r="C30" s="224"/>
      <c r="D30" s="224"/>
      <c r="E30" s="224"/>
      <c r="F30" s="694" t="str">
        <f>IFERROR(F29/F28,"－")</f>
        <v>－</v>
      </c>
      <c r="G30" s="740" t="str">
        <f>IFERROR(G29/G28,"－")</f>
        <v>－</v>
      </c>
      <c r="H30" s="887" t="str">
        <f t="shared" ref="H30:J30" si="1">IFERROR(H29/H28,"－")</f>
        <v>－</v>
      </c>
      <c r="I30" s="887" t="str">
        <f t="shared" si="1"/>
        <v>－</v>
      </c>
      <c r="J30" s="888" t="str">
        <f t="shared" si="1"/>
        <v>－</v>
      </c>
    </row>
    <row r="31" spans="1:13">
      <c r="A31" s="225" t="s">
        <v>139</v>
      </c>
      <c r="B31" s="224"/>
      <c r="C31" s="224"/>
      <c r="D31" s="224"/>
      <c r="E31" s="224"/>
      <c r="F31" s="693" t="str">
        <f>IFERROR(F26-(F101-F32)/F102/F189/12,"－")</f>
        <v>－</v>
      </c>
      <c r="G31" s="739" t="str">
        <f>IFERROR(G26-(J101-G32)/J102/J189/12,"－")</f>
        <v>－</v>
      </c>
      <c r="H31" s="883" t="str">
        <f>IFERROR(H26-(K101-H32)/K102/K189/12,"－")</f>
        <v>－</v>
      </c>
      <c r="I31" s="883" t="str">
        <f>IFERROR(I26-(L101-I32)/L102/L189/12,"－")</f>
        <v>－</v>
      </c>
      <c r="J31" s="884" t="str">
        <f>IFERROR(J26-(M101-J32)/M102/M189/12,"－")</f>
        <v>－</v>
      </c>
    </row>
    <row r="32" spans="1:13">
      <c r="A32" s="226"/>
      <c r="B32" s="224" t="s">
        <v>140</v>
      </c>
      <c r="C32" s="224"/>
      <c r="D32" s="224"/>
      <c r="E32" s="224"/>
      <c r="F32" s="693" t="str">
        <f>IF(F26="－","－",(F68+F84)*F33)</f>
        <v>－</v>
      </c>
      <c r="G32" s="739" t="str">
        <f>IF(G26="－","－",(J68+J84)*G33)</f>
        <v>－</v>
      </c>
      <c r="H32" s="883" t="str">
        <f>IF(H26="－","－",(K68+K84)*H33)</f>
        <v>－</v>
      </c>
      <c r="I32" s="883" t="str">
        <f>IF(I26="－","－",(L68+L84)*I33)</f>
        <v>－</v>
      </c>
      <c r="J32" s="884" t="str">
        <f>IF(J26="－","－",(M68+M84)*J33)</f>
        <v>－</v>
      </c>
    </row>
    <row r="33" spans="1:15">
      <c r="A33" s="228"/>
      <c r="B33" s="224" t="s">
        <v>141</v>
      </c>
      <c r="C33" s="224"/>
      <c r="D33" s="224"/>
      <c r="E33" s="224"/>
      <c r="F33" s="759" t="str">
        <f>IF(F26="－","－",F19)</f>
        <v>－</v>
      </c>
      <c r="G33" s="741" t="str">
        <f>IF(G26="－","－",G19)</f>
        <v>－</v>
      </c>
      <c r="H33" s="893" t="str">
        <f>IF(H26="－","－",H19)</f>
        <v>－</v>
      </c>
      <c r="I33" s="893" t="str">
        <f>IF(I26="－","－",I19)</f>
        <v>－</v>
      </c>
      <c r="J33" s="894" t="str">
        <f>IF(J26="－","－",J19)</f>
        <v>－</v>
      </c>
    </row>
    <row r="34" spans="1:15">
      <c r="A34" s="225" t="s">
        <v>142</v>
      </c>
      <c r="B34" s="224"/>
      <c r="C34" s="224"/>
      <c r="D34" s="224"/>
      <c r="E34" s="224"/>
      <c r="F34" s="693" t="str">
        <f>IFERROR(F26-(F101-F35)/F102/F189/12,"－")</f>
        <v>－</v>
      </c>
      <c r="G34" s="739" t="str">
        <f>IFERROR(G26-(J101-G35)/J102/J189/12,"－")</f>
        <v>－</v>
      </c>
      <c r="H34" s="883" t="str">
        <f>IFERROR(H26-(K101-H35)/K102/K189/12,"－")</f>
        <v>－</v>
      </c>
      <c r="I34" s="883" t="str">
        <f>IFERROR(I26-(L101-I35)/L102/L189/12,"－")</f>
        <v>－</v>
      </c>
      <c r="J34" s="884" t="str">
        <f>IFERROR(J26-(M101-J35)/M102/M189/12,"－")</f>
        <v>－</v>
      </c>
    </row>
    <row r="35" spans="1:15">
      <c r="A35" s="229"/>
      <c r="B35" s="234" t="s">
        <v>143</v>
      </c>
      <c r="C35" s="224"/>
      <c r="D35" s="224"/>
      <c r="E35" s="224"/>
      <c r="F35" s="693" t="str">
        <f>IF(F26="－","－",F21)</f>
        <v>－</v>
      </c>
      <c r="G35" s="739" t="str">
        <f>IF(G26="－","－",G21)</f>
        <v>－</v>
      </c>
      <c r="H35" s="883" t="str">
        <f>IF(H26="－","－",H21)</f>
        <v>－</v>
      </c>
      <c r="I35" s="883" t="str">
        <f>IF(I26="－","－",I21)</f>
        <v>－</v>
      </c>
      <c r="J35" s="884" t="str">
        <f>IF(J26="－","－",J21)</f>
        <v>－</v>
      </c>
    </row>
    <row r="36" spans="1:15" ht="14.25" thickBot="1">
      <c r="A36" s="231" t="s">
        <v>315</v>
      </c>
      <c r="B36" s="232"/>
      <c r="C36" s="232"/>
      <c r="D36" s="232"/>
      <c r="E36" s="232"/>
      <c r="F36" s="696" t="str">
        <f>IFERROR(F26/$F$8-1,"－")</f>
        <v>－</v>
      </c>
      <c r="G36" s="742" t="str">
        <f>IFERROR(G26/$F$8-1,"－")</f>
        <v>－</v>
      </c>
      <c r="H36" s="891" t="str">
        <f t="shared" ref="H36:J36" si="2">IFERROR(H26/$F$8-1,"－")</f>
        <v>－</v>
      </c>
      <c r="I36" s="891" t="str">
        <f t="shared" si="2"/>
        <v>－</v>
      </c>
      <c r="J36" s="892" t="str">
        <f t="shared" si="2"/>
        <v>－</v>
      </c>
    </row>
    <row r="37" spans="1:15">
      <c r="A37" s="215"/>
      <c r="B37" s="219"/>
      <c r="C37" s="219"/>
      <c r="D37" s="219"/>
      <c r="E37" s="219"/>
      <c r="F37" s="219"/>
      <c r="G37" s="219"/>
      <c r="H37" s="219"/>
      <c r="I37" s="219"/>
      <c r="J37" s="219"/>
    </row>
    <row r="38" spans="1:15" ht="14.25" thickBot="1">
      <c r="A38" s="215" t="s">
        <v>145</v>
      </c>
      <c r="B38" s="219"/>
      <c r="C38" s="219"/>
      <c r="D38" s="219"/>
      <c r="E38" s="219"/>
      <c r="F38" s="219"/>
      <c r="G38" s="219"/>
      <c r="H38" s="219"/>
      <c r="I38" s="219"/>
      <c r="J38" s="219"/>
    </row>
    <row r="39" spans="1:15">
      <c r="A39" s="127"/>
      <c r="B39" s="235"/>
      <c r="C39" s="235"/>
      <c r="D39" s="235"/>
      <c r="E39" s="236"/>
      <c r="F39" s="746" t="s">
        <v>82</v>
      </c>
      <c r="G39" s="747"/>
      <c r="H39" s="747"/>
      <c r="I39" s="747"/>
      <c r="J39" s="748"/>
      <c r="K39" s="749" t="s">
        <v>146</v>
      </c>
      <c r="L39" s="747"/>
      <c r="M39" s="747"/>
      <c r="N39" s="747"/>
      <c r="O39" s="750"/>
    </row>
    <row r="40" spans="1:15">
      <c r="A40" s="237"/>
      <c r="B40" s="238"/>
      <c r="C40" s="238"/>
      <c r="D40" s="238"/>
      <c r="E40" s="239"/>
      <c r="F40" s="698" t="s">
        <v>336</v>
      </c>
      <c r="G40" s="751" t="s">
        <v>262</v>
      </c>
      <c r="H40" s="751" t="s">
        <v>320</v>
      </c>
      <c r="I40" s="751" t="s">
        <v>321</v>
      </c>
      <c r="J40" s="895" t="s">
        <v>322</v>
      </c>
      <c r="K40" s="128" t="s">
        <v>294</v>
      </c>
      <c r="L40" s="751" t="s">
        <v>262</v>
      </c>
      <c r="M40" s="751" t="s">
        <v>320</v>
      </c>
      <c r="N40" s="751" t="s">
        <v>321</v>
      </c>
      <c r="O40" s="896" t="s">
        <v>322</v>
      </c>
    </row>
    <row r="41" spans="1:15">
      <c r="A41" s="129" t="s">
        <v>65</v>
      </c>
      <c r="B41" s="129"/>
      <c r="C41" s="130"/>
      <c r="D41" s="131"/>
      <c r="E41" s="240"/>
      <c r="F41" s="744" t="n">
        <f>(F69*'(参考)保険料の推計に要する係数'!D5+(F89-F90))/(F188*F102*12)</f>
        <v>5481.610272403058</v>
      </c>
      <c r="G41" s="752" t="n">
        <f>(J69*'(参考)保険料の推計に要する係数'!E5+(J89-J90))/(J188*J102*12)</f>
        <v>5433.497231762675</v>
      </c>
      <c r="H41" s="752" t="n">
        <f>(K69*'(参考)保険料の推計に要する係数'!F5+(K89-K90))/(K188*K102*12)</f>
        <v>5848.1842648368</v>
      </c>
      <c r="I41" s="752" t="n">
        <f>(L69*'(参考)保険料の推計に要する係数'!G5+(L89-L90))/(L188*L102*12)</f>
        <v>6465.977967157814</v>
      </c>
      <c r="J41" s="897" t="n">
        <f>(M69*'(参考)保険料の推計に要する係数'!H5+(M89-M90))/(M188*M102*12)</f>
        <v>6707.1369377090805</v>
      </c>
      <c r="K41" s="754" t="n">
        <f t="shared" ref="K41:K51" si="3">F41/$F$49</f>
        <v>0.8454912496108594</v>
      </c>
      <c r="L41" s="755" t="n">
        <f t="shared" ref="L41:L51" si="4">G41/$G$49</f>
        <v>0.8446096122723181</v>
      </c>
      <c r="M41" s="755" t="n">
        <f t="shared" ref="M41:M51" si="5">H41/$H$49</f>
        <v>0.8499268974320635</v>
      </c>
      <c r="N41" s="755" t="n">
        <f t="shared" ref="N41:N51" si="6">I41/$I$49</f>
        <v>0.8562269837513168</v>
      </c>
      <c r="O41" s="898" t="n">
        <f t="shared" ref="O41:O51" si="7">J41/$J$49</f>
        <v>0.8541175659339786</v>
      </c>
    </row>
    <row r="42" spans="1:15">
      <c r="A42" s="129"/>
      <c r="B42" s="132" t="s">
        <v>72</v>
      </c>
      <c r="C42" s="133"/>
      <c r="D42" s="241"/>
      <c r="E42" s="242"/>
      <c r="F42" s="744" t="n">
        <f>$F$41*SUM('2_サービス別給付費'!G145:I145)/SUM('2_サービス別給付費'!$G$144:$I$144)</f>
        <v>2170.586508127086</v>
      </c>
      <c r="G42" s="752" t="n">
        <f>$G$41*SUM('2_サービス別給付費'!J145)/SUM('2_サービス別給付費'!$J$144)</f>
        <v>2167.9530339131265</v>
      </c>
      <c r="H42" s="752" t="n">
        <f>$H$41*SUM('2_サービス別給付費'!K145)/SUM('2_サービス別給付費'!$K$144)</f>
        <v>2355.229813786397</v>
      </c>
      <c r="I42" s="752" t="n">
        <f>$I$41*SUM('2_サービス別給付費'!L145)/SUM('2_サービス別給付費'!$L$144)</f>
        <v>2670.1166874865603</v>
      </c>
      <c r="J42" s="897" t="n">
        <f>$J$41*SUM('2_サービス別給付費'!M145)/SUM('2_サービス別給付費'!$M$144)</f>
        <v>2719.5092713901377</v>
      </c>
      <c r="K42" s="754" t="n">
        <f t="shared" si="3"/>
        <v>0.33479430458311504</v>
      </c>
      <c r="L42" s="755" t="n">
        <f t="shared" si="4"/>
        <v>0.33699731375476283</v>
      </c>
      <c r="M42" s="755" t="n">
        <f>H42/$H$49</f>
        <v>0.34228968816987687</v>
      </c>
      <c r="N42" s="755" t="n">
        <f>I42/$I$49</f>
        <v>0.35357775253843127</v>
      </c>
      <c r="O42" s="898" t="n">
        <f t="shared" si="7"/>
        <v>0.346314777972613</v>
      </c>
    </row>
    <row r="43" spans="1:15">
      <c r="A43" s="129"/>
      <c r="B43" s="132" t="s">
        <v>83</v>
      </c>
      <c r="C43" s="133"/>
      <c r="D43" s="241"/>
      <c r="E43" s="242"/>
      <c r="F43" s="744" t="n">
        <f>$F$41*SUM('2_サービス別給付費'!G146:I146)/SUM('2_サービス別給付費'!$G$144:$I$144)</f>
        <v>651.5067533125768</v>
      </c>
      <c r="G43" s="752" t="n">
        <f>$G$41*SUM('2_サービス別給付費'!J146)/SUM('2_サービス別給付費'!$J$144)</f>
        <v>630.4646518687343</v>
      </c>
      <c r="H43" s="752" t="n">
        <f>$H$41*SUM('2_サービス別給付費'!K146)/SUM('2_サービス別給付費'!$K$144)</f>
        <v>644.7370391486735</v>
      </c>
      <c r="I43" s="752" t="n">
        <f>$I$41*SUM('2_サービス別給付費'!L146)/SUM('2_サービス別給付費'!$L$144)</f>
        <v>723.3108163327928</v>
      </c>
      <c r="J43" s="897" t="n">
        <f>$J$41*SUM('2_サービス別給付費'!M146)/SUM('2_サービス別給付費'!$M$144)</f>
        <v>795.0657611516565</v>
      </c>
      <c r="K43" s="754" t="n">
        <f t="shared" si="3"/>
        <v>0.10048931456534994</v>
      </c>
      <c r="L43" s="755" t="n">
        <f t="shared" si="4"/>
        <v>0.09800253546710781</v>
      </c>
      <c r="M43" s="755" t="n">
        <f t="shared" si="5"/>
        <v>0.09370076702917617</v>
      </c>
      <c r="N43" s="755" t="n">
        <f t="shared" si="6"/>
        <v>0.09578106231245903</v>
      </c>
      <c r="O43" s="898" t="n">
        <f t="shared" si="7"/>
        <v>0.10124731893490284</v>
      </c>
    </row>
    <row r="44" spans="1:15">
      <c r="A44" s="129"/>
      <c r="B44" s="132" t="s">
        <v>73</v>
      </c>
      <c r="C44" s="131"/>
      <c r="D44" s="243"/>
      <c r="E44" s="240"/>
      <c r="F44" s="744" t="n">
        <f>$F$41*SUM('2_サービス別給付費'!G147:I147)/SUM('2_サービス別給付費'!$G$144:$I$144)</f>
        <v>2659.517010963395</v>
      </c>
      <c r="G44" s="752" t="n">
        <f>$G$41*SUM('2_サービス別給付費'!J147)/SUM('2_サービス別給付費'!$J$144)</f>
        <v>2635.0795459808146</v>
      </c>
      <c r="H44" s="752" t="n">
        <f>$H$41*SUM('2_サービス別給付費'!K147)/SUM('2_サービス別給付費'!$K$144)</f>
        <v>2848.21741190173</v>
      </c>
      <c r="I44" s="752" t="n">
        <f>$I$41*SUM('2_サービス別給付費'!L147)/SUM('2_サービス別給付費'!$L$144)</f>
        <v>3072.5504633384617</v>
      </c>
      <c r="J44" s="897" t="n">
        <f>$J$41*SUM('2_サービス別給付費'!M147)/SUM('2_サービス別給付費'!$M$144)</f>
        <v>3192.5619051672866</v>
      </c>
      <c r="K44" s="754" t="n">
        <f t="shared" si="3"/>
        <v>0.4102076304623944</v>
      </c>
      <c r="L44" s="755" t="n">
        <f t="shared" si="4"/>
        <v>0.4096097630504475</v>
      </c>
      <c r="M44" s="755" t="n">
        <f t="shared" si="5"/>
        <v>0.41393644223301046</v>
      </c>
      <c r="N44" s="755" t="n">
        <f t="shared" si="6"/>
        <v>0.40686816890042643</v>
      </c>
      <c r="O44" s="898" t="n">
        <f t="shared" si="7"/>
        <v>0.4065554690264627</v>
      </c>
    </row>
    <row r="45" spans="1:15">
      <c r="A45" s="134" t="s">
        <v>84</v>
      </c>
      <c r="B45" s="134"/>
      <c r="C45" s="133"/>
      <c r="D45" s="241"/>
      <c r="E45" s="242"/>
      <c r="F45" s="744" t="n">
        <f>((F73+F76+F79+F80)*'(参考)保険料の推計に要する係数'!D5+F83)/(F188*F102*12)</f>
        <v>577.843809636929</v>
      </c>
      <c r="G45" s="752" t="n">
        <f>((J73+J76+J79+J80)*'(参考)保険料の推計に要する係数'!E5+J83)/(J188*J102*12)</f>
        <v>593.2669848225061</v>
      </c>
      <c r="H45" s="752" t="n">
        <f>((K73+K76+K79+K80)*'(参考)保険料の推計に要する係数'!F5+K83)/(K188*K102*12)</f>
        <v>626.2130604272764</v>
      </c>
      <c r="I45" s="752" t="n">
        <f>((L73+L76+L79+L80)*'(参考)保険料の推計に要する係数'!G5+L83)/(L188*L102*12)</f>
        <v>668.06921334421</v>
      </c>
      <c r="J45" s="897" t="n">
        <f>((M73+M76+M79+M80)*'(参考)保険料の推計に要する係数'!H5+M83)/(M188*M102*12)</f>
        <v>707.45507145765</v>
      </c>
      <c r="K45" s="754" t="n">
        <f t="shared" si="3"/>
        <v>0.08912743891142197</v>
      </c>
      <c r="L45" s="755" t="n">
        <f t="shared" si="4"/>
        <v>0.09222034661133885</v>
      </c>
      <c r="M45" s="755" t="n">
        <f t="shared" si="5"/>
        <v>0.09100864464557785</v>
      </c>
      <c r="N45" s="755" t="n">
        <f t="shared" si="6"/>
        <v>0.08846595060859208</v>
      </c>
      <c r="O45" s="898" t="n">
        <f t="shared" si="7"/>
        <v>0.0900905720656789</v>
      </c>
    </row>
    <row r="46" spans="1:15">
      <c r="A46" s="134" t="s">
        <v>85</v>
      </c>
      <c r="B46" s="244"/>
      <c r="C46" s="241"/>
      <c r="D46" s="241"/>
      <c r="E46" s="242"/>
      <c r="F46" s="744" t="n">
        <f>F84*'(参考)保険料の推計に要する係数'!D5/(F188*F102*12)</f>
        <v>423.8895065849576</v>
      </c>
      <c r="G46" s="752" t="n">
        <f>J84*'(参考)保険料の推計に要する係数'!E5/(J188*J102*12)</f>
        <v>406.38211849443076</v>
      </c>
      <c r="H46" s="752" t="n">
        <f>K84*'(参考)保険料の推計に要する係数'!F5/(K188*K102*12)</f>
        <v>406.41122722000125</v>
      </c>
      <c r="I46" s="752" t="n">
        <f>L84*'(参考)保険料の推計に要する係数'!G5/(L188*L102*12)</f>
        <v>417.6629265877539</v>
      </c>
      <c r="J46" s="897" t="n">
        <f>M84*'(参考)保険料の推計に要する係数'!H5/(M188*M102*12)</f>
        <v>438.11727257578826</v>
      </c>
      <c r="K46" s="754" t="n">
        <f t="shared" si="3"/>
        <v>0.06538131147771863</v>
      </c>
      <c r="L46" s="755" t="n">
        <f t="shared" si="4"/>
        <v>0.06317004111634306</v>
      </c>
      <c r="M46" s="755" t="n">
        <f t="shared" si="5"/>
        <v>0.059064457922358635</v>
      </c>
      <c r="N46" s="755" t="n">
        <f t="shared" si="6"/>
        <v>0.055307065640091115</v>
      </c>
      <c r="O46" s="898" t="n">
        <f t="shared" si="7"/>
        <v>0.055791862000342626</v>
      </c>
    </row>
    <row r="47" spans="1:15">
      <c r="A47" s="134" t="s">
        <v>86</v>
      </c>
      <c r="B47" s="244"/>
      <c r="C47" s="241"/>
      <c r="D47" s="241"/>
      <c r="E47" s="242"/>
      <c r="F47" s="744" t="n">
        <f>(F18+F21)/(F188*F102*12)</f>
        <v>0.0</v>
      </c>
      <c r="G47" s="752" t="n">
        <f>(G18+G21)/(J188*J102*12)</f>
        <v>0.0</v>
      </c>
      <c r="H47" s="752" t="n">
        <f>(H18+H21)/(K188*K102*12)</f>
        <v>0.0</v>
      </c>
      <c r="I47" s="752" t="n">
        <f>(I18+I21)/(L188*L102*12)</f>
        <v>0.0</v>
      </c>
      <c r="J47" s="897" t="n">
        <f>(J18+J21)/(M188*M102*12)</f>
        <v>0.0</v>
      </c>
      <c r="K47" s="754" t="n">
        <f t="shared" si="3"/>
        <v>0.0</v>
      </c>
      <c r="L47" s="755" t="n">
        <f t="shared" si="4"/>
        <v>0.0</v>
      </c>
      <c r="M47" s="755" t="n">
        <f t="shared" si="5"/>
        <v>0.0</v>
      </c>
      <c r="N47" s="755" t="n">
        <f t="shared" si="6"/>
        <v>0.0</v>
      </c>
      <c r="O47" s="898" t="n">
        <f t="shared" si="7"/>
        <v>0.0</v>
      </c>
    </row>
    <row r="48" spans="1:15">
      <c r="A48" s="134" t="s">
        <v>87</v>
      </c>
      <c r="B48" s="134"/>
      <c r="C48" s="133"/>
      <c r="D48" s="133"/>
      <c r="E48" s="242"/>
      <c r="F48" s="744" t="n">
        <f>(F98+F99-F100)/(F188*F102*12)</f>
        <v>0.0</v>
      </c>
      <c r="G48" s="752" t="n">
        <f>(J98+J99-J100)/(J188*J102*12)</f>
        <v>0.0</v>
      </c>
      <c r="H48" s="752" t="n">
        <f t="shared" ref="H48:J48" si="8">(K98+K99-K100)/(K188*K102*12)</f>
        <v>0.0</v>
      </c>
      <c r="I48" s="752" t="n">
        <f t="shared" si="8"/>
        <v>0.0</v>
      </c>
      <c r="J48" s="897" t="n">
        <f t="shared" si="8"/>
        <v>0.0</v>
      </c>
      <c r="K48" s="754" t="n">
        <f t="shared" si="3"/>
        <v>0.0</v>
      </c>
      <c r="L48" s="755" t="n">
        <f t="shared" si="4"/>
        <v>0.0</v>
      </c>
      <c r="M48" s="755" t="n">
        <f t="shared" si="5"/>
        <v>0.0</v>
      </c>
      <c r="N48" s="755" t="n">
        <f t="shared" si="6"/>
        <v>0.0</v>
      </c>
      <c r="O48" s="898" t="n">
        <f t="shared" si="7"/>
        <v>0.0</v>
      </c>
    </row>
    <row r="49" spans="1:15">
      <c r="A49" s="134" t="s">
        <v>88</v>
      </c>
      <c r="B49" s="134"/>
      <c r="C49" s="133"/>
      <c r="D49" s="133"/>
      <c r="E49" s="242"/>
      <c r="F49" s="744" t="n">
        <f>F41+SUM(F45:F48)</f>
        <v>6483.3435886249445</v>
      </c>
      <c r="G49" s="752" t="n">
        <f>G41+SUM(G45:G48)</f>
        <v>6433.146335079612</v>
      </c>
      <c r="H49" s="752" t="n">
        <f t="shared" ref="H49:J49" si="9">H41+SUM(H45:H48)</f>
        <v>6880.808552484078</v>
      </c>
      <c r="I49" s="752" t="n">
        <f t="shared" si="9"/>
        <v>7551.710107089779</v>
      </c>
      <c r="J49" s="897" t="n">
        <f t="shared" si="9"/>
        <v>7852.709281742518</v>
      </c>
      <c r="K49" s="754" t="n">
        <f t="shared" si="3"/>
        <v>1.0</v>
      </c>
      <c r="L49" s="755" t="n">
        <f t="shared" si="4"/>
        <v>1.0</v>
      </c>
      <c r="M49" s="755" t="n">
        <f t="shared" si="5"/>
        <v>1.0</v>
      </c>
      <c r="N49" s="755" t="n">
        <f t="shared" si="6"/>
        <v>1.0</v>
      </c>
      <c r="O49" s="898" t="n">
        <f t="shared" si="7"/>
        <v>1.0</v>
      </c>
    </row>
    <row r="50" spans="1:15">
      <c r="A50" s="134" t="s">
        <v>89</v>
      </c>
      <c r="B50" s="244"/>
      <c r="C50" s="241"/>
      <c r="D50" s="241"/>
      <c r="E50" s="242"/>
      <c r="F50" s="744" t="n">
        <f>F15/(F188*F102*12)</f>
        <v>83.22555270016566</v>
      </c>
      <c r="G50" s="752" t="n">
        <f>G15/(J188*J102*12)</f>
        <v>32.77046819114423</v>
      </c>
      <c r="H50" s="752" t="n">
        <f>H15/(K188*K102*12)</f>
        <v>181.16241976998577</v>
      </c>
      <c r="I50" s="752" t="n">
        <f>I15/(L188*L102*12)</f>
        <v>252.01591241872336</v>
      </c>
      <c r="J50" s="897" t="n">
        <f>J15/(M188*M102*12)</f>
        <v>252.39097813481874</v>
      </c>
      <c r="K50" s="754" t="n">
        <f t="shared" si="3"/>
        <v>0.0128368258696308</v>
      </c>
      <c r="L50" s="755" t="n">
        <f t="shared" si="4"/>
        <v>0.005094003227075463</v>
      </c>
      <c r="M50" s="755" t="n">
        <f t="shared" si="5"/>
        <v>0.026328652859347955</v>
      </c>
      <c r="N50" s="755" t="n">
        <f t="shared" si="6"/>
        <v>0.033372032141716225</v>
      </c>
      <c r="O50" s="898" t="n">
        <f t="shared" si="7"/>
        <v>0.032140624220181636</v>
      </c>
    </row>
    <row r="51" spans="1:15" ht="14.25" thickBot="1">
      <c r="A51" s="135" t="s">
        <v>150</v>
      </c>
      <c r="B51" s="135"/>
      <c r="C51" s="136"/>
      <c r="D51" s="136"/>
      <c r="E51" s="245"/>
      <c r="F51" s="745" t="n">
        <f>F49-F50</f>
        <v>6400.118035924779</v>
      </c>
      <c r="G51" s="753" t="n">
        <f>G49-G50</f>
        <v>6400.3758668884675</v>
      </c>
      <c r="H51" s="753" t="n">
        <f t="shared" ref="H51:J51" si="10">H49-H50</f>
        <v>6699.646132714092</v>
      </c>
      <c r="I51" s="753" t="n">
        <f t="shared" si="10"/>
        <v>7299.694194671056</v>
      </c>
      <c r="J51" s="899" t="n">
        <f t="shared" si="10"/>
        <v>7600.3183036077</v>
      </c>
      <c r="K51" s="754" t="n">
        <f t="shared" si="3"/>
        <v>0.9871631741303692</v>
      </c>
      <c r="L51" s="756" t="n">
        <f t="shared" si="4"/>
        <v>0.9949059967729245</v>
      </c>
      <c r="M51" s="756" t="n">
        <f t="shared" si="5"/>
        <v>0.9736713471406521</v>
      </c>
      <c r="N51" s="756" t="n">
        <f t="shared" si="6"/>
        <v>0.9666279678582839</v>
      </c>
      <c r="O51" s="900" t="n">
        <f t="shared" si="7"/>
        <v>0.9678593757798184</v>
      </c>
    </row>
    <row r="52" spans="1:15">
      <c r="A52" s="246" t="s">
        <v>151</v>
      </c>
      <c r="B52" s="247"/>
      <c r="C52" s="247"/>
      <c r="D52" s="247"/>
      <c r="E52" s="236"/>
      <c r="F52" s="758"/>
      <c r="G52" s="247"/>
      <c r="H52" s="901"/>
      <c r="I52" s="901"/>
      <c r="J52" s="901"/>
      <c r="K52" s="247"/>
      <c r="L52" s="247"/>
      <c r="M52" s="901"/>
      <c r="N52" s="901"/>
      <c r="O52" s="902"/>
    </row>
    <row r="53" spans="1:15">
      <c r="A53" s="129" t="s">
        <v>65</v>
      </c>
      <c r="B53" s="129"/>
      <c r="C53" s="130"/>
      <c r="D53" s="131"/>
      <c r="E53" s="240"/>
      <c r="F53" s="697" t="str">
        <f>IFERROR((F69*'(参考)保険料の推計に要する係数'!D5+(F89-F90))/(F189*F102*12),"－")</f>
        <v>－</v>
      </c>
      <c r="G53" s="752" t="str">
        <f>IFERROR((J69*'(参考)保険料の推計に要する係数'!E5+(J89-J90))/(J189*J102*12),"－")</f>
        <v>－</v>
      </c>
      <c r="H53" s="752" t="str">
        <f>IFERROR((K69*'(参考)保険料の推計に要する係数'!F5+(K89-K90))/(K189*K102*12),"－")</f>
        <v>－</v>
      </c>
      <c r="I53" s="752" t="str">
        <f>IFERROR((L69*'(参考)保険料の推計に要する係数'!G5+(L89-L90))/(L189*L102*12),"－")</f>
        <v>－</v>
      </c>
      <c r="J53" s="897" t="str">
        <f>IFERROR((M69*'(参考)保険料の推計に要する係数'!H5+(M89-M90))/(M189*M102*12),"－")</f>
        <v>－</v>
      </c>
      <c r="K53" s="754" t="str">
        <f t="shared" ref="K53:K63" si="11">IFERROR(F53/$F$61,"－")</f>
        <v>－</v>
      </c>
      <c r="L53" s="755" t="str">
        <f t="shared" ref="L53:L63" si="12">IFERROR(G53/$G$61,"－")</f>
        <v>－</v>
      </c>
      <c r="M53" s="755" t="str">
        <f>IFERROR(H53/$H$61,"－")</f>
        <v>－</v>
      </c>
      <c r="N53" s="755" t="str">
        <f>IFERROR(I53/$I$61,"－")</f>
        <v>－</v>
      </c>
      <c r="O53" s="898" t="str">
        <f>IFERROR(J53/$J$61,"－")</f>
        <v>－</v>
      </c>
    </row>
    <row r="54" spans="1:15">
      <c r="A54" s="129"/>
      <c r="B54" s="132" t="s">
        <v>72</v>
      </c>
      <c r="C54" s="133"/>
      <c r="D54" s="241"/>
      <c r="E54" s="242"/>
      <c r="F54" s="697" t="str">
        <f>IFERROR($F$53*SUM('2_サービス別給付費'!G145:I145)/SUM('2_サービス別給付費'!$G$144:$I$144),"－")</f>
        <v>－</v>
      </c>
      <c r="G54" s="752" t="str">
        <f>IFERROR(G53*SUM('2_サービス別給付費'!J145)/SUM('2_サービス別給付費'!J144),"－")</f>
        <v>－</v>
      </c>
      <c r="H54" s="752" t="str">
        <f>IFERROR(H53*SUM('2_サービス別給付費'!K145)/SUM('2_サービス別給付費'!K144),"－")</f>
        <v>－</v>
      </c>
      <c r="I54" s="752" t="str">
        <f>IFERROR(I53*SUM('2_サービス別給付費'!L145)/SUM('2_サービス別給付費'!L144),"－")</f>
        <v>－</v>
      </c>
      <c r="J54" s="897" t="str">
        <f>IFERROR(J53*SUM('2_サービス別給付費'!M145)/SUM('2_サービス別給付費'!M144),"－")</f>
        <v>－</v>
      </c>
      <c r="K54" s="754" t="str">
        <f t="shared" si="11"/>
        <v>－</v>
      </c>
      <c r="L54" s="755" t="str">
        <f t="shared" si="12"/>
        <v>－</v>
      </c>
      <c r="M54" s="755" t="str">
        <f>IFERROR(H54/$H$61,"－")</f>
        <v>－</v>
      </c>
      <c r="N54" s="755" t="str">
        <f>IFERROR(I54/$I$61,"－")</f>
        <v>－</v>
      </c>
      <c r="O54" s="898" t="str">
        <f>IFERROR(J54/$J$61,"－")</f>
        <v>－</v>
      </c>
    </row>
    <row r="55" spans="1:15">
      <c r="A55" s="129"/>
      <c r="B55" s="132" t="s">
        <v>83</v>
      </c>
      <c r="C55" s="133"/>
      <c r="D55" s="241"/>
      <c r="E55" s="242"/>
      <c r="F55" s="697" t="str">
        <f>IFERROR($F$53*SUM('2_サービス別給付費'!G146:I146)/SUM('2_サービス別給付費'!$G$144:$I$144),"－")</f>
        <v>－</v>
      </c>
      <c r="G55" s="752" t="str">
        <f>IFERROR(G53*SUM('2_サービス別給付費'!J146)/SUM('2_サービス別給付費'!J144),"－")</f>
        <v>－</v>
      </c>
      <c r="H55" s="752" t="str">
        <f>IFERROR(H53*SUM('2_サービス別給付費'!K146)/SUM('2_サービス別給付費'!K144),"－")</f>
        <v>－</v>
      </c>
      <c r="I55" s="752" t="str">
        <f>IFERROR(I53*SUM('2_サービス別給付費'!L146)/SUM('2_サービス別給付費'!L144),"－")</f>
        <v>－</v>
      </c>
      <c r="J55" s="897" t="str">
        <f>IFERROR(J53*SUM('2_サービス別給付費'!M146)/SUM('2_サービス別給付費'!M144),"－")</f>
        <v>－</v>
      </c>
      <c r="K55" s="754" t="str">
        <f t="shared" si="11"/>
        <v>－</v>
      </c>
      <c r="L55" s="755" t="str">
        <f t="shared" si="12"/>
        <v>－</v>
      </c>
      <c r="M55" s="755" t="str">
        <f t="shared" ref="M55:M63" si="13">IFERROR(H55/$H$61,"－")</f>
        <v>－</v>
      </c>
      <c r="N55" s="755" t="str">
        <f t="shared" ref="N55:N63" si="14">IFERROR(I55/$I$61,"－")</f>
        <v>－</v>
      </c>
      <c r="O55" s="898" t="str">
        <f t="shared" ref="O55:O63" si="15">IFERROR(J55/$J$61,"－")</f>
        <v>－</v>
      </c>
    </row>
    <row r="56" spans="1:15">
      <c r="A56" s="129"/>
      <c r="B56" s="132" t="s">
        <v>73</v>
      </c>
      <c r="C56" s="131"/>
      <c r="D56" s="243"/>
      <c r="E56" s="240"/>
      <c r="F56" s="697" t="str">
        <f>IFERROR($F$53*SUM('2_サービス別給付費'!G147:I147)/SUM('2_サービス別給付費'!$G$144:$I$144),"－")</f>
        <v>－</v>
      </c>
      <c r="G56" s="752" t="str">
        <f>IFERROR(G53*SUM('2_サービス別給付費'!J147)/SUM('2_サービス別給付費'!J144),"－")</f>
        <v>－</v>
      </c>
      <c r="H56" s="752" t="str">
        <f>IFERROR(H53*SUM('2_サービス別給付費'!K147)/SUM('2_サービス別給付費'!K144),"－")</f>
        <v>－</v>
      </c>
      <c r="I56" s="752" t="str">
        <f>IFERROR(I53*SUM('2_サービス別給付費'!L147)/SUM('2_サービス別給付費'!L144),"－")</f>
        <v>－</v>
      </c>
      <c r="J56" s="897" t="str">
        <f>IFERROR(J53*SUM('2_サービス別給付費'!M147)/SUM('2_サービス別給付費'!M144),"－")</f>
        <v>－</v>
      </c>
      <c r="K56" s="754" t="str">
        <f t="shared" si="11"/>
        <v>－</v>
      </c>
      <c r="L56" s="755" t="str">
        <f t="shared" si="12"/>
        <v>－</v>
      </c>
      <c r="M56" s="755" t="str">
        <f t="shared" si="13"/>
        <v>－</v>
      </c>
      <c r="N56" s="755" t="str">
        <f t="shared" si="14"/>
        <v>－</v>
      </c>
      <c r="O56" s="898" t="str">
        <f t="shared" si="15"/>
        <v>－</v>
      </c>
    </row>
    <row r="57" spans="1:15">
      <c r="A57" s="134" t="s">
        <v>84</v>
      </c>
      <c r="B57" s="134"/>
      <c r="C57" s="133"/>
      <c r="D57" s="241"/>
      <c r="E57" s="242"/>
      <c r="F57" s="697" t="str">
        <f>IFERROR(((F73+F76+F79+F80)*'(参考)保険料の推計に要する係数'!D5+F83)/(F189*F102*12),"－")</f>
        <v>－</v>
      </c>
      <c r="G57" s="752" t="str">
        <f>IFERROR(((J73+J76+J79+J80)*'(参考)保険料の推計に要する係数'!E5+J83)/(J189*J102*12),"－")</f>
        <v>－</v>
      </c>
      <c r="H57" s="752" t="str">
        <f>IFERROR(((K73+K76+K79+K80)*'(参考)保険料の推計に要する係数'!F5+K83)/(K189*K102*12),"－")</f>
        <v>－</v>
      </c>
      <c r="I57" s="752" t="str">
        <f>IFERROR(((L73+L76+L79+L80)*'(参考)保険料の推計に要する係数'!G5+L83)/(L189*L102*12),"－")</f>
        <v>－</v>
      </c>
      <c r="J57" s="897" t="str">
        <f>IFERROR(((M73+M76+M79+M80)*'(参考)保険料の推計に要する係数'!H5+M83)/(M189*M102*12),"－")</f>
        <v>－</v>
      </c>
      <c r="K57" s="754" t="str">
        <f t="shared" si="11"/>
        <v>－</v>
      </c>
      <c r="L57" s="755" t="str">
        <f t="shared" si="12"/>
        <v>－</v>
      </c>
      <c r="M57" s="755" t="str">
        <f t="shared" si="13"/>
        <v>－</v>
      </c>
      <c r="N57" s="755" t="str">
        <f t="shared" si="14"/>
        <v>－</v>
      </c>
      <c r="O57" s="898" t="str">
        <f t="shared" si="15"/>
        <v>－</v>
      </c>
    </row>
    <row r="58" spans="1:15">
      <c r="A58" s="134" t="s">
        <v>85</v>
      </c>
      <c r="B58" s="244"/>
      <c r="C58" s="241"/>
      <c r="D58" s="241"/>
      <c r="E58" s="242"/>
      <c r="F58" s="697" t="str">
        <f>IFERROR(F84*'(参考)保険料の推計に要する係数'!D5/(F189*F102*12),"－")</f>
        <v>－</v>
      </c>
      <c r="G58" s="752" t="str">
        <f>IFERROR(J84*'(参考)保険料の推計に要する係数'!E5/(J189*J102*12),"－")</f>
        <v>－</v>
      </c>
      <c r="H58" s="752" t="str">
        <f>IFERROR(K84*'(参考)保険料の推計に要する係数'!F5/(K189*K102*12),"－")</f>
        <v>－</v>
      </c>
      <c r="I58" s="752" t="str">
        <f>IFERROR(L84*'(参考)保険料の推計に要する係数'!G5/(L189*L102*12),"－")</f>
        <v>－</v>
      </c>
      <c r="J58" s="897" t="str">
        <f>IFERROR(M84*'(参考)保険料の推計に要する係数'!H5/(M189*M102*12),"－")</f>
        <v>－</v>
      </c>
      <c r="K58" s="754" t="str">
        <f t="shared" si="11"/>
        <v>－</v>
      </c>
      <c r="L58" s="755" t="str">
        <f t="shared" si="12"/>
        <v>－</v>
      </c>
      <c r="M58" s="755" t="str">
        <f t="shared" si="13"/>
        <v>－</v>
      </c>
      <c r="N58" s="755" t="str">
        <f t="shared" si="14"/>
        <v>－</v>
      </c>
      <c r="O58" s="898" t="str">
        <f t="shared" si="15"/>
        <v>－</v>
      </c>
    </row>
    <row r="59" spans="1:15">
      <c r="A59" s="134" t="s">
        <v>86</v>
      </c>
      <c r="B59" s="244"/>
      <c r="C59" s="241"/>
      <c r="D59" s="241"/>
      <c r="E59" s="242"/>
      <c r="F59" s="697" t="str">
        <f>IFERROR((F18+F21)/(F189*F102*12),"－")</f>
        <v>－</v>
      </c>
      <c r="G59" s="752" t="str">
        <f>IFERROR((G18+G21)/(J189*J102*12),"－")</f>
        <v>－</v>
      </c>
      <c r="H59" s="752" t="str">
        <f>IFERROR((H18+H21)/(K189*K102*12),"－")</f>
        <v>－</v>
      </c>
      <c r="I59" s="752" t="str">
        <f>IFERROR((I18+I21)/(L189*L102*12),"－")</f>
        <v>－</v>
      </c>
      <c r="J59" s="897" t="str">
        <f>IFERROR((J18+J21)/(M189*M102*12),"－")</f>
        <v>－</v>
      </c>
      <c r="K59" s="754" t="str">
        <f t="shared" si="11"/>
        <v>－</v>
      </c>
      <c r="L59" s="755" t="str">
        <f t="shared" si="12"/>
        <v>－</v>
      </c>
      <c r="M59" s="755" t="str">
        <f t="shared" si="13"/>
        <v>－</v>
      </c>
      <c r="N59" s="755" t="str">
        <f t="shared" si="14"/>
        <v>－</v>
      </c>
      <c r="O59" s="898" t="str">
        <f t="shared" si="15"/>
        <v>－</v>
      </c>
    </row>
    <row r="60" spans="1:15">
      <c r="A60" s="134" t="s">
        <v>87</v>
      </c>
      <c r="B60" s="134"/>
      <c r="C60" s="133"/>
      <c r="D60" s="133"/>
      <c r="E60" s="242"/>
      <c r="F60" s="697" t="str">
        <f>IFERROR((F98+F99-F100)/(F189*F102*12),"－")</f>
        <v>－</v>
      </c>
      <c r="G60" s="752" t="str">
        <f>IFERROR((J98+J99-J100)/(J189*J102*12),"－")</f>
        <v>－</v>
      </c>
      <c r="H60" s="752" t="str">
        <f t="shared" ref="H60:J60" si="16">IFERROR((K98+K99-K100)/(K189*K102*12),"－")</f>
        <v>－</v>
      </c>
      <c r="I60" s="752" t="str">
        <f t="shared" si="16"/>
        <v>－</v>
      </c>
      <c r="J60" s="897" t="str">
        <f t="shared" si="16"/>
        <v>－</v>
      </c>
      <c r="K60" s="754" t="str">
        <f t="shared" si="11"/>
        <v>－</v>
      </c>
      <c r="L60" s="755" t="str">
        <f t="shared" si="12"/>
        <v>－</v>
      </c>
      <c r="M60" s="755" t="str">
        <f t="shared" si="13"/>
        <v>－</v>
      </c>
      <c r="N60" s="755" t="str">
        <f t="shared" si="14"/>
        <v>－</v>
      </c>
      <c r="O60" s="898" t="str">
        <f t="shared" si="15"/>
        <v>－</v>
      </c>
    </row>
    <row r="61" spans="1:15">
      <c r="A61" s="134" t="s">
        <v>88</v>
      </c>
      <c r="B61" s="134"/>
      <c r="C61" s="133"/>
      <c r="D61" s="133"/>
      <c r="E61" s="242"/>
      <c r="F61" s="697" t="str">
        <f>IFERROR(F53+SUM(F57:F60),"－")</f>
        <v>－</v>
      </c>
      <c r="G61" s="752" t="str">
        <f>IFERROR(G53+SUM(G57:G60),"－")</f>
        <v>－</v>
      </c>
      <c r="H61" s="752" t="str">
        <f t="shared" ref="H61:J61" si="17">IFERROR(H53+SUM(H57:H60),"－")</f>
        <v>－</v>
      </c>
      <c r="I61" s="752" t="str">
        <f t="shared" si="17"/>
        <v>－</v>
      </c>
      <c r="J61" s="897" t="str">
        <f t="shared" si="17"/>
        <v>－</v>
      </c>
      <c r="K61" s="754" t="str">
        <f t="shared" si="11"/>
        <v>－</v>
      </c>
      <c r="L61" s="755" t="str">
        <f t="shared" si="12"/>
        <v>－</v>
      </c>
      <c r="M61" s="755" t="str">
        <f t="shared" si="13"/>
        <v>－</v>
      </c>
      <c r="N61" s="755" t="str">
        <f t="shared" si="14"/>
        <v>－</v>
      </c>
      <c r="O61" s="898" t="str">
        <f t="shared" si="15"/>
        <v>－</v>
      </c>
    </row>
    <row r="62" spans="1:15">
      <c r="A62" s="134" t="s">
        <v>89</v>
      </c>
      <c r="B62" s="244"/>
      <c r="C62" s="241"/>
      <c r="D62" s="241"/>
      <c r="E62" s="242"/>
      <c r="F62" s="697" t="str">
        <f>IFERROR(F15/(F189*F102*12),"－")</f>
        <v>－</v>
      </c>
      <c r="G62" s="752" t="str">
        <f>IFERROR(G15/(J189*J102*12),"－")</f>
        <v>－</v>
      </c>
      <c r="H62" s="752" t="str">
        <f>IFERROR(H15/(K189*K102*12),"－")</f>
        <v>－</v>
      </c>
      <c r="I62" s="752" t="str">
        <f>IFERROR(I15/(L189*L102*12),"－")</f>
        <v>－</v>
      </c>
      <c r="J62" s="897" t="str">
        <f>IFERROR(J15/(M189*M102*12),"－")</f>
        <v>－</v>
      </c>
      <c r="K62" s="754" t="str">
        <f t="shared" si="11"/>
        <v>－</v>
      </c>
      <c r="L62" s="755" t="str">
        <f t="shared" si="12"/>
        <v>－</v>
      </c>
      <c r="M62" s="755" t="str">
        <f t="shared" si="13"/>
        <v>－</v>
      </c>
      <c r="N62" s="755" t="str">
        <f t="shared" si="14"/>
        <v>－</v>
      </c>
      <c r="O62" s="898" t="str">
        <f t="shared" si="15"/>
        <v>－</v>
      </c>
    </row>
    <row r="63" spans="1:15" ht="14.25" thickBot="1">
      <c r="A63" s="135" t="s">
        <v>150</v>
      </c>
      <c r="B63" s="135"/>
      <c r="C63" s="136"/>
      <c r="D63" s="136"/>
      <c r="E63" s="245"/>
      <c r="F63" s="699" t="str">
        <f>IFERROR(F61-F62,"－")</f>
        <v>－</v>
      </c>
      <c r="G63" s="753" t="str">
        <f>IFERROR(G61-G62,"－")</f>
        <v>－</v>
      </c>
      <c r="H63" s="753" t="str">
        <f t="shared" ref="H63:J63" si="18">IFERROR(H61-H62,"－")</f>
        <v>－</v>
      </c>
      <c r="I63" s="753" t="str">
        <f t="shared" si="18"/>
        <v>－</v>
      </c>
      <c r="J63" s="899" t="str">
        <f t="shared" si="18"/>
        <v>－</v>
      </c>
      <c r="K63" s="757" t="str">
        <f t="shared" si="11"/>
        <v>－</v>
      </c>
      <c r="L63" s="756" t="str">
        <f t="shared" si="12"/>
        <v>－</v>
      </c>
      <c r="M63" s="756" t="str">
        <f t="shared" si="13"/>
        <v>－</v>
      </c>
      <c r="N63" s="756" t="str">
        <f t="shared" si="14"/>
        <v>－</v>
      </c>
      <c r="O63" s="900" t="str">
        <f t="shared" si="15"/>
        <v>－</v>
      </c>
    </row>
    <row r="64" spans="1:15">
      <c r="A64" s="215"/>
      <c r="B64" s="219"/>
      <c r="C64" s="219"/>
      <c r="D64" s="219"/>
      <c r="E64" s="219"/>
      <c r="F64" s="219"/>
      <c r="G64" s="219"/>
      <c r="H64" s="219"/>
      <c r="I64" s="219"/>
      <c r="J64" s="219"/>
    </row>
    <row r="65" spans="1:13" ht="14.25" thickBot="1">
      <c r="A65" s="215" t="s">
        <v>152</v>
      </c>
    </row>
    <row r="66" spans="1:13">
      <c r="A66" s="248"/>
      <c r="B66" s="249"/>
      <c r="C66" s="249"/>
      <c r="D66" s="249"/>
      <c r="E66" s="249"/>
      <c r="F66" s="1104" t="s">
        <v>386</v>
      </c>
      <c r="G66" s="1105"/>
      <c r="H66" s="1105"/>
      <c r="I66" s="1106"/>
      <c r="J66" s="1107" t="s">
        <v>266</v>
      </c>
      <c r="K66" s="1107" t="s">
        <v>329</v>
      </c>
      <c r="L66" s="1107" t="s">
        <v>330</v>
      </c>
      <c r="M66" s="1119" t="s">
        <v>331</v>
      </c>
    </row>
    <row r="67" spans="1:13" ht="14.25" thickBot="1">
      <c r="A67" s="250"/>
      <c r="B67" s="214"/>
      <c r="C67" s="214"/>
      <c r="D67" s="214"/>
      <c r="E67" s="214"/>
      <c r="F67" s="251" t="s">
        <v>153</v>
      </c>
      <c r="G67" s="252" t="s">
        <v>259</v>
      </c>
      <c r="H67" s="253" t="s">
        <v>260</v>
      </c>
      <c r="I67" s="254" t="s">
        <v>261</v>
      </c>
      <c r="J67" s="1108"/>
      <c r="K67" s="1118"/>
      <c r="L67" s="1118"/>
      <c r="M67" s="1120"/>
    </row>
    <row r="68" spans="1:13">
      <c r="A68" s="137" t="s">
        <v>154</v>
      </c>
      <c r="B68" s="138"/>
      <c r="C68" s="138"/>
      <c r="D68" s="138"/>
      <c r="E68" s="138"/>
      <c r="F68" s="161" t="n">
        <f>SUM(G68:I68)</f>
        <v>8.315583614E9</v>
      </c>
      <c r="G68" s="255" t="n">
        <f t="shared" ref="G68:M68" si="19">G69+G73+G76+G79+G80</f>
        <v>2.762557155E9</v>
      </c>
      <c r="H68" s="256" t="n">
        <f t="shared" si="19"/>
        <v>2.770553038E9</v>
      </c>
      <c r="I68" s="257" t="n">
        <f t="shared" si="19"/>
        <v>2.782473421E9</v>
      </c>
      <c r="J68" s="726" t="n">
        <f t="shared" si="19"/>
        <v>2.792901683E9</v>
      </c>
      <c r="K68" s="903" t="n">
        <f t="shared" si="19"/>
        <v>2.541739605E9</v>
      </c>
      <c r="L68" s="903" t="n">
        <f t="shared" si="19"/>
        <v>2.33450609E9</v>
      </c>
      <c r="M68" s="904" t="n">
        <f t="shared" si="19"/>
        <v>2.200940031E9</v>
      </c>
    </row>
    <row r="69" spans="1:13">
      <c r="A69" s="258"/>
      <c r="B69" s="139" t="s">
        <v>310</v>
      </c>
      <c r="C69" s="139"/>
      <c r="D69" s="259"/>
      <c r="E69" s="130"/>
      <c r="F69" s="185" t="n">
        <f>SUM(G69:I69)</f>
        <v>7.726929E9</v>
      </c>
      <c r="G69" s="260" t="n">
        <f>'2_サービス別給付費'!G144*1000</f>
        <v>2.564467E9</v>
      </c>
      <c r="H69" s="260" t="n">
        <f>'2_サービス別給付費'!H144*1000</f>
        <v>2.574526E9</v>
      </c>
      <c r="I69" s="260" t="n">
        <f>'2_サービス別給付費'!I144*1000</f>
        <v>2.587936E9</v>
      </c>
      <c r="J69" s="727" t="n">
        <f>'2_サービス別給付費'!J144*1000</f>
        <v>2.599486E9</v>
      </c>
      <c r="K69" s="905" t="n">
        <f>'2_サービス別給付費'!K144*1000</f>
        <v>2.354505E9</v>
      </c>
      <c r="L69" s="905" t="n">
        <f>'2_サービス別給付費'!L144*1000</f>
        <v>2.154963E9</v>
      </c>
      <c r="M69" s="906" t="n">
        <f>'2_サービス別給付費'!M144*1000</f>
        <v>2.033596E9</v>
      </c>
    </row>
    <row r="70" spans="1:13" hidden="1">
      <c r="A70" s="129"/>
      <c r="B70" s="139"/>
      <c r="C70" s="261"/>
      <c r="D70" s="262"/>
      <c r="E70" s="262"/>
      <c r="F70" s="263" t="n">
        <f t="shared" ref="F70" si="20">SUM(G70:I70)</f>
        <v>0.0</v>
      </c>
      <c r="G70" s="264"/>
      <c r="H70" s="265"/>
      <c r="I70" s="266"/>
      <c r="J70" s="724"/>
      <c r="K70" s="907"/>
      <c r="L70" s="907"/>
      <c r="M70" s="908"/>
    </row>
    <row r="71" spans="1:13" hidden="1">
      <c r="A71" s="129"/>
      <c r="B71" s="139"/>
      <c r="C71" s="1111"/>
      <c r="D71" s="1112"/>
      <c r="E71" s="1113"/>
      <c r="F71" s="263" t="n">
        <f t="shared" ref="F71" si="21">SUM(G71:I71)</f>
        <v>0.0</v>
      </c>
      <c r="G71" s="267" t="n">
        <v>0.0</v>
      </c>
      <c r="H71" s="268" t="n">
        <v>0.0</v>
      </c>
      <c r="I71" s="269" t="n">
        <v>0.0</v>
      </c>
      <c r="J71" s="728" t="n">
        <v>0.0</v>
      </c>
      <c r="K71" s="909" t="n">
        <v>0.0</v>
      </c>
      <c r="L71" s="909" t="n">
        <v>0.0</v>
      </c>
      <c r="M71" s="910" t="n">
        <v>0.0</v>
      </c>
    </row>
    <row r="72" spans="1:13" hidden="1">
      <c r="A72" s="258"/>
      <c r="B72" s="140"/>
      <c r="C72" s="834"/>
      <c r="D72" s="270"/>
      <c r="E72" s="271"/>
      <c r="F72" s="263" t="n">
        <f>SUM(G72:I72)</f>
        <v>0.0</v>
      </c>
      <c r="G72" s="267" t="n">
        <v>0.0</v>
      </c>
      <c r="H72" s="268" t="n">
        <v>0.0</v>
      </c>
      <c r="I72" s="269" t="n">
        <v>0.0</v>
      </c>
      <c r="J72" s="728" t="n">
        <v>0.0</v>
      </c>
      <c r="K72" s="909" t="n">
        <v>0.0</v>
      </c>
      <c r="L72" s="909" t="n">
        <v>0.0</v>
      </c>
      <c r="M72" s="910" t="n">
        <v>0.0</v>
      </c>
    </row>
    <row r="73" spans="1:13">
      <c r="A73" s="258"/>
      <c r="B73" s="1109" t="s">
        <v>344</v>
      </c>
      <c r="C73" s="1110"/>
      <c r="D73" s="1110"/>
      <c r="E73" s="1110"/>
      <c r="F73" s="263" t="n">
        <f t="shared" ref="F73:F75" si="22">SUM(G73:I73)</f>
        <v>3.7930867E8</v>
      </c>
      <c r="G73" s="911" t="n">
        <f t="shared" ref="G73:M73" si="23">G74-G75</f>
        <v>1.27448399E8</v>
      </c>
      <c r="H73" s="912" t="n">
        <f t="shared" si="23"/>
        <v>1.26590913E8</v>
      </c>
      <c r="I73" s="913" t="n">
        <f t="shared" si="23"/>
        <v>1.25269358E8</v>
      </c>
      <c r="J73" s="801" t="n">
        <f t="shared" si="23"/>
        <v>1.24875945E8</v>
      </c>
      <c r="K73" s="914" t="n">
        <f t="shared" si="23"/>
        <v>1.21159781E8</v>
      </c>
      <c r="L73" s="914" t="n">
        <f t="shared" si="23"/>
        <v>1.15765173E8</v>
      </c>
      <c r="M73" s="915" t="n">
        <f t="shared" si="23"/>
        <v>1.08440031E8</v>
      </c>
    </row>
    <row r="74" spans="1:13">
      <c r="A74" s="129"/>
      <c r="B74" s="916"/>
      <c r="C74" s="917" t="s">
        <v>342</v>
      </c>
      <c r="D74" s="270"/>
      <c r="E74" s="270"/>
      <c r="F74" s="263" t="n">
        <f t="shared" si="22"/>
        <v>3.7930867E8</v>
      </c>
      <c r="G74" s="267" t="n">
        <v>1.27448399E8</v>
      </c>
      <c r="H74" s="268" t="n">
        <v>1.26590913E8</v>
      </c>
      <c r="I74" s="269" t="n">
        <v>1.25269358E8</v>
      </c>
      <c r="J74" s="728" t="n">
        <v>1.24875945E8</v>
      </c>
      <c r="K74" s="909" t="n">
        <v>1.21159781E8</v>
      </c>
      <c r="L74" s="909" t="n">
        <v>1.15765173E8</v>
      </c>
      <c r="M74" s="910" t="n">
        <v>1.08440031E8</v>
      </c>
    </row>
    <row r="75" spans="1:13">
      <c r="A75" s="258"/>
      <c r="B75" s="140"/>
      <c r="C75" s="917" t="s">
        <v>343</v>
      </c>
      <c r="D75" s="270"/>
      <c r="E75" s="270"/>
      <c r="F75" s="263" t="n">
        <f t="shared" si="22"/>
        <v>0.0</v>
      </c>
      <c r="G75" s="918" t="n">
        <v>0.0</v>
      </c>
      <c r="H75" s="268" t="n">
        <v>0.0</v>
      </c>
      <c r="I75" s="269" t="n">
        <v>0.0</v>
      </c>
      <c r="J75" s="728" t="n">
        <v>0.0</v>
      </c>
      <c r="K75" s="909" t="n">
        <v>0.0</v>
      </c>
      <c r="L75" s="909" t="n">
        <v>0.0</v>
      </c>
      <c r="M75" s="910" t="n">
        <v>0.0</v>
      </c>
    </row>
    <row r="76" spans="1:13">
      <c r="A76" s="258"/>
      <c r="B76" s="919" t="s">
        <v>347</v>
      </c>
      <c r="C76" s="920"/>
      <c r="D76" s="920"/>
      <c r="E76" s="920"/>
      <c r="F76" s="272" t="n">
        <f t="shared" ref="F76:F78" si="24">SUM(G76:I76)</f>
        <v>1.80159383E8</v>
      </c>
      <c r="G76" s="921" t="n">
        <f>G77-G78</f>
        <v>6.0865316E7</v>
      </c>
      <c r="H76" s="799" t="n">
        <f t="shared" ref="H76:M76" si="25">H77-H78</f>
        <v>5.9719794E7</v>
      </c>
      <c r="I76" s="800" t="n">
        <f t="shared" si="25"/>
        <v>5.9574273E7</v>
      </c>
      <c r="J76" s="801" t="n">
        <f t="shared" si="25"/>
        <v>5.8943679E7</v>
      </c>
      <c r="K76" s="914" t="n">
        <f t="shared" si="25"/>
        <v>5.6809363E7</v>
      </c>
      <c r="L76" s="914" t="n">
        <f t="shared" si="25"/>
        <v>5.4820568E7</v>
      </c>
      <c r="M76" s="915" t="n">
        <f t="shared" si="25"/>
        <v>5.0600443E7</v>
      </c>
    </row>
    <row r="77" spans="1:13">
      <c r="A77" s="258"/>
      <c r="B77" s="922"/>
      <c r="C77" s="326" t="s">
        <v>345</v>
      </c>
      <c r="D77" s="326"/>
      <c r="E77" s="326"/>
      <c r="F77" s="263" t="n">
        <f t="shared" si="24"/>
        <v>1.80159383E8</v>
      </c>
      <c r="G77" s="267" t="n">
        <v>6.0865316E7</v>
      </c>
      <c r="H77" s="268" t="n">
        <v>5.9719794E7</v>
      </c>
      <c r="I77" s="269" t="n">
        <v>5.9574273E7</v>
      </c>
      <c r="J77" s="728" t="n">
        <v>5.8943679E7</v>
      </c>
      <c r="K77" s="909" t="n">
        <v>5.6809363E7</v>
      </c>
      <c r="L77" s="909" t="n">
        <v>5.4820568E7</v>
      </c>
      <c r="M77" s="910" t="n">
        <v>5.0600443E7</v>
      </c>
    </row>
    <row r="78" spans="1:13">
      <c r="A78" s="258"/>
      <c r="B78" s="923"/>
      <c r="C78" s="326" t="s">
        <v>346</v>
      </c>
      <c r="D78" s="326"/>
      <c r="E78" s="326"/>
      <c r="F78" s="263" t="n">
        <f t="shared" si="24"/>
        <v>0.0</v>
      </c>
      <c r="G78" s="267" t="n">
        <v>0.0</v>
      </c>
      <c r="H78" s="268" t="n">
        <v>0.0</v>
      </c>
      <c r="I78" s="269" t="n">
        <v>0.0</v>
      </c>
      <c r="J78" s="728" t="n">
        <v>0.0</v>
      </c>
      <c r="K78" s="909" t="n">
        <v>0.0</v>
      </c>
      <c r="L78" s="909" t="n">
        <v>0.0</v>
      </c>
      <c r="M78" s="910" t="n">
        <v>0.0</v>
      </c>
    </row>
    <row r="79" spans="1:13">
      <c r="A79" s="258"/>
      <c r="B79" s="141" t="s">
        <v>155</v>
      </c>
      <c r="C79" s="142"/>
      <c r="D79" s="142"/>
      <c r="E79" s="142"/>
      <c r="F79" s="272" t="n">
        <f>SUM(G79:I79)</f>
        <v>2.4568643E7</v>
      </c>
      <c r="G79" s="273" t="n">
        <v>8229610.0</v>
      </c>
      <c r="H79" s="274" t="n">
        <v>8179005.0</v>
      </c>
      <c r="I79" s="275" t="n">
        <v>8160028.0</v>
      </c>
      <c r="J79" s="728" t="n">
        <v>8077795.0</v>
      </c>
      <c r="K79" s="909" t="n">
        <v>7799469.0</v>
      </c>
      <c r="L79" s="909" t="n">
        <v>7540119.0</v>
      </c>
      <c r="M79" s="910" t="n">
        <v>6989791.0</v>
      </c>
    </row>
    <row r="80" spans="1:13">
      <c r="A80" s="258"/>
      <c r="B80" s="139" t="s">
        <v>156</v>
      </c>
      <c r="C80" s="130"/>
      <c r="D80" s="130"/>
      <c r="E80" s="130"/>
      <c r="F80" s="272" t="n">
        <f>SUM(G80:I80)</f>
        <v>4617918.0</v>
      </c>
      <c r="G80" s="276" t="n">
        <f t="shared" ref="G80:M80" si="26">G81*G82-G83</f>
        <v>1546830.0</v>
      </c>
      <c r="H80" s="277" t="n">
        <f t="shared" si="26"/>
        <v>1537326.0</v>
      </c>
      <c r="I80" s="278" t="n">
        <f t="shared" si="26"/>
        <v>1533762.0</v>
      </c>
      <c r="J80" s="727" t="n">
        <f t="shared" si="26"/>
        <v>1518264.0</v>
      </c>
      <c r="K80" s="905" t="n">
        <f t="shared" si="26"/>
        <v>1465992.0</v>
      </c>
      <c r="L80" s="905" t="n">
        <f t="shared" si="26"/>
        <v>1417230.0</v>
      </c>
      <c r="M80" s="906" t="n">
        <f t="shared" si="26"/>
        <v>1313766.0</v>
      </c>
    </row>
    <row r="81" spans="1:13">
      <c r="A81" s="129"/>
      <c r="B81" s="139"/>
      <c r="C81" s="141" t="s">
        <v>243</v>
      </c>
      <c r="D81" s="279"/>
      <c r="E81" s="142"/>
      <c r="F81" s="163"/>
      <c r="G81" s="273" t="n">
        <v>54.0</v>
      </c>
      <c r="H81" s="274" t="n">
        <v>54.0</v>
      </c>
      <c r="I81" s="275" t="n">
        <v>54.0</v>
      </c>
      <c r="J81" s="728" t="n">
        <v>54.0</v>
      </c>
      <c r="K81" s="909" t="n">
        <v>54.0</v>
      </c>
      <c r="L81" s="909" t="n">
        <v>54.0</v>
      </c>
      <c r="M81" s="910" t="n">
        <v>54.0</v>
      </c>
    </row>
    <row r="82" spans="1:13">
      <c r="A82" s="129"/>
      <c r="B82" s="139"/>
      <c r="C82" s="280" t="s">
        <v>244</v>
      </c>
      <c r="D82" s="281"/>
      <c r="E82" s="142"/>
      <c r="F82" s="162" t="n">
        <f t="shared" ref="F82:F84" si="27">SUM(G82:I82)</f>
        <v>85517.0</v>
      </c>
      <c r="G82" s="273" t="n">
        <v>28645.0</v>
      </c>
      <c r="H82" s="274" t="n">
        <v>28469.0</v>
      </c>
      <c r="I82" s="275" t="n">
        <v>28403.0</v>
      </c>
      <c r="J82" s="728" t="n">
        <v>28116.0</v>
      </c>
      <c r="K82" s="909" t="n">
        <v>27148.0</v>
      </c>
      <c r="L82" s="909" t="n">
        <v>26245.0</v>
      </c>
      <c r="M82" s="910" t="n">
        <v>24329.0</v>
      </c>
    </row>
    <row r="83" spans="1:13" ht="13.5" customHeight="1">
      <c r="A83" s="143"/>
      <c r="B83" s="144"/>
      <c r="C83" s="282" t="s">
        <v>157</v>
      </c>
      <c r="D83" s="133"/>
      <c r="E83" s="133"/>
      <c r="F83" s="162" t="n">
        <f t="shared" si="27"/>
        <v>0.0</v>
      </c>
      <c r="G83" s="276" t="n">
        <f>IF(G81-'(参考)保険料の推計に要する係数'!$D$35&gt;0,(G81-'(参考)保険料の推計に要する係数'!$D$35)*G82,0)</f>
        <v>0.0</v>
      </c>
      <c r="H83" s="277" t="n">
        <f>IF(H81-'(参考)保険料の推計に要する係数'!$D$35&gt;0,(H81-'(参考)保険料の推計に要する係数'!$D$35)*H82,0)</f>
        <v>0.0</v>
      </c>
      <c r="I83" s="278" t="n">
        <f>IF(I81-'(参考)保険料の推計に要する係数'!$D$35&gt;0,(I81-'(参考)保険料の推計に要する係数'!$D$35)*I82,0)</f>
        <v>0.0</v>
      </c>
      <c r="J83" s="727" t="n">
        <f>IF(J81-'(参考)保険料の推計に要する係数'!$D$35&gt;0,(J81-'(参考)保険料の推計に要する係数'!$D$35)*J82,0)</f>
        <v>0.0</v>
      </c>
      <c r="K83" s="905" t="n">
        <f>IF(K81-'(参考)保険料の推計に要する係数'!$D$35&gt;0,(K81-'(参考)保険料の推計に要する係数'!$D$35)*K82,0)</f>
        <v>0.0</v>
      </c>
      <c r="L83" s="905" t="n">
        <f>IF(L81-'(参考)保険料の推計に要する係数'!$D$35&gt;0,(L81-'(参考)保険料の推計に要する係数'!$D$35)*L82,0)</f>
        <v>0.0</v>
      </c>
      <c r="M83" s="906" t="n">
        <f>IF(M81-'(参考)保険料の推計に要する係数'!$D$35&gt;0,(M81-'(参考)保険料の推計に要する係数'!$D$35)*M82,0)</f>
        <v>0.0</v>
      </c>
    </row>
    <row r="84" spans="1:13">
      <c r="A84" s="225" t="s">
        <v>158</v>
      </c>
      <c r="B84" s="283"/>
      <c r="C84" s="283"/>
      <c r="D84" s="283"/>
      <c r="E84" s="283"/>
      <c r="F84" s="162" t="n">
        <f t="shared" si="27"/>
        <v>4.3182E8</v>
      </c>
      <c r="G84" s="277" t="n">
        <f>SUM(G85:G87)</f>
        <v>1.4394E8</v>
      </c>
      <c r="H84" s="277" t="n">
        <f t="shared" ref="H84:M84" si="28">SUM(H85:H87)</f>
        <v>1.4394E8</v>
      </c>
      <c r="I84" s="278" t="n">
        <f t="shared" si="28"/>
        <v>1.4394E8</v>
      </c>
      <c r="J84" s="727" t="n">
        <f t="shared" si="28"/>
        <v>1.32487863E8</v>
      </c>
      <c r="K84" s="905" t="n">
        <f t="shared" si="28"/>
        <v>1.21514945E8</v>
      </c>
      <c r="L84" s="905" t="n">
        <f t="shared" si="28"/>
        <v>1.12246592E8</v>
      </c>
      <c r="M84" s="906" t="n">
        <f t="shared" si="28"/>
        <v>1.03633875E8</v>
      </c>
    </row>
    <row r="85" spans="1:13">
      <c r="A85" s="250"/>
      <c r="B85" s="230" t="s">
        <v>159</v>
      </c>
      <c r="C85" s="227"/>
      <c r="D85" s="227"/>
      <c r="E85" s="227"/>
      <c r="F85" s="162" t="n">
        <f>SUM(G85:I85)</f>
        <v>2.64702E8</v>
      </c>
      <c r="G85" s="799" t="n">
        <f>'3_地域支援事業費'!E51</f>
        <v>8.8234E7</v>
      </c>
      <c r="H85" s="799" t="n">
        <f>'3_地域支援事業費'!F51</f>
        <v>8.8234E7</v>
      </c>
      <c r="I85" s="800" t="n">
        <f>'3_地域支援事業費'!G51</f>
        <v>8.8234E7</v>
      </c>
      <c r="J85" s="801" t="n">
        <f>'3_地域支援事業費'!H51</f>
        <v>7.7738203E7</v>
      </c>
      <c r="K85" s="914" t="n">
        <f>'3_地域支援事業費'!I51</f>
        <v>6.9071485E7</v>
      </c>
      <c r="L85" s="914" t="n">
        <f>'3_地域支援事業費'!J51</f>
        <v>6.1987343E7</v>
      </c>
      <c r="M85" s="915" t="n">
        <f>'3_地域支援事業費'!K51</f>
        <v>5.5431036E7</v>
      </c>
    </row>
    <row r="86" spans="1:13">
      <c r="A86" s="250"/>
      <c r="B86" s="230" t="s">
        <v>417</v>
      </c>
      <c r="C86" s="227"/>
      <c r="D86" s="227"/>
      <c r="E86" s="227"/>
      <c r="F86" s="162" t="n">
        <f>SUM(G86:I86)</f>
        <v>1.18845E8</v>
      </c>
      <c r="G86" s="799" t="n">
        <f>'3_地域支援事業費'!E52</f>
        <v>3.9615E7</v>
      </c>
      <c r="H86" s="799" t="n">
        <f>'3_地域支援事業費'!F52</f>
        <v>3.9615E7</v>
      </c>
      <c r="I86" s="800" t="n">
        <f>'3_地域支援事業費'!G52</f>
        <v>3.9615E7</v>
      </c>
      <c r="J86" s="801" t="n">
        <f>'3_地域支援事業費'!H52</f>
        <v>3.865936E7</v>
      </c>
      <c r="K86" s="914" t="n">
        <f>'3_地域支援事業費'!I52</f>
        <v>3.635316E7</v>
      </c>
      <c r="L86" s="914" t="n">
        <f>'3_地域支援事業費'!J52</f>
        <v>3.4168949E7</v>
      </c>
      <c r="M86" s="915" t="n">
        <f>'3_地域支援事業費'!K52</f>
        <v>3.2112539E7</v>
      </c>
    </row>
    <row r="87" spans="1:13" s="927" customFormat="1">
      <c r="A87" s="250"/>
      <c r="B87" s="230" t="s">
        <v>387</v>
      </c>
      <c r="C87" s="924"/>
      <c r="D87" s="924"/>
      <c r="E87" s="924"/>
      <c r="F87" s="162" t="n">
        <f>SUM(G87:I87)</f>
        <v>4.8273E7</v>
      </c>
      <c r="G87" s="925" t="n">
        <f>'3_地域支援事業費'!E53</f>
        <v>1.6091E7</v>
      </c>
      <c r="H87" s="925" t="n">
        <f>'3_地域支援事業費'!F53</f>
        <v>1.6091E7</v>
      </c>
      <c r="I87" s="926" t="n">
        <f>'3_地域支援事業費'!G53</f>
        <v>1.6091E7</v>
      </c>
      <c r="J87" s="914" t="n">
        <f>'3_地域支援事業費'!H53</f>
        <v>1.60903E7</v>
      </c>
      <c r="K87" s="914" t="n">
        <f>'3_地域支援事業費'!I53</f>
        <v>1.60903E7</v>
      </c>
      <c r="L87" s="914" t="n">
        <f>'3_地域支援事業費'!J53</f>
        <v>1.60903E7</v>
      </c>
      <c r="M87" s="915" t="n">
        <f>'3_地域支援事業費'!K53</f>
        <v>1.60903E7</v>
      </c>
    </row>
    <row r="88" spans="1:13">
      <c r="A88" s="284" t="s">
        <v>160</v>
      </c>
      <c r="B88" s="285"/>
      <c r="C88" s="285"/>
      <c r="D88" s="285"/>
      <c r="E88" s="285"/>
      <c r="F88" s="162" t="n">
        <f>SUM(G88:I88)</f>
        <v>2.0119028312199998E9</v>
      </c>
      <c r="G88" s="286" t="n">
        <f>(G68+G84)*'(参考)保険料の推計に要する係数'!$D$5</f>
        <v>6.6849434565E8</v>
      </c>
      <c r="H88" s="286" t="n">
        <f>(H68+H84)*'(参考)保険料の推計に要する係数'!$D$5</f>
        <v>6.7033339874E8</v>
      </c>
      <c r="I88" s="287" t="n">
        <f>(I68+I84)*'(参考)保険料の推計に要する係数'!$D$5</f>
        <v>6.7307508683E8</v>
      </c>
      <c r="J88" s="727" t="n">
        <f>(J68+J84)*'(参考)保険料の推計に要する係数'!$E$5</f>
        <v>6.84541153764E8</v>
      </c>
      <c r="K88" s="905" t="n">
        <f>(K68+K84)*'(参考)保険料の推計に要する係数'!$F$5</f>
        <v>6.39181092E8</v>
      </c>
      <c r="L88" s="905" t="n">
        <f>(L68+L84)*'(参考)保険料の推計に要する係数'!$G$5</f>
        <v>6.14134923182E8</v>
      </c>
      <c r="M88" s="906" t="n">
        <f>(M68+M84)*'(参考)保険料の推計に要する係数'!$H$5</f>
        <v>6.176258068080001E8</v>
      </c>
    </row>
    <row r="89" spans="1:13" s="291" customFormat="1" ht="13.5" customHeight="1">
      <c r="A89" s="288" t="s">
        <v>161</v>
      </c>
      <c r="B89" s="178"/>
      <c r="C89" s="178"/>
      <c r="D89" s="178"/>
      <c r="E89" s="179"/>
      <c r="F89" s="167" t="n">
        <f t="shared" ref="F89" si="29">SUM(G89:I89)</f>
        <v>4.290142807E8</v>
      </c>
      <c r="G89" s="289" t="n">
        <f t="shared" ref="G89:M89" si="30">(G68+G85)*0.05</f>
        <v>1.4253955775E8</v>
      </c>
      <c r="H89" s="289" t="n">
        <f t="shared" si="30"/>
        <v>1.429393519E8</v>
      </c>
      <c r="I89" s="290" t="n">
        <f t="shared" si="30"/>
        <v>1.4353537105E8</v>
      </c>
      <c r="J89" s="729" t="n">
        <f t="shared" si="30"/>
        <v>1.435319943E8</v>
      </c>
      <c r="K89" s="729" t="n">
        <f t="shared" si="30"/>
        <v>1.305405545E8</v>
      </c>
      <c r="L89" s="729" t="n">
        <f t="shared" si="30"/>
        <v>1.1982467165E8</v>
      </c>
      <c r="M89" s="928" t="n">
        <f t="shared" si="30"/>
        <v>1.1281855335000001E8</v>
      </c>
    </row>
    <row r="90" spans="1:13" s="291" customFormat="1" ht="13.5" customHeight="1">
      <c r="A90" s="173" t="s">
        <v>253</v>
      </c>
      <c r="B90" s="174"/>
      <c r="C90" s="175"/>
      <c r="D90" s="175"/>
      <c r="E90" s="292"/>
      <c r="F90" s="172" t="n">
        <f>SUM(G90:I90)</f>
        <v>9.2185E8</v>
      </c>
      <c r="G90" s="168" t="n">
        <f t="shared" ref="G90:M90" si="31">ROUND((G68+G85)*G93*G91,-3)+G92</f>
        <v>2.98763E8</v>
      </c>
      <c r="H90" s="168" t="n">
        <f t="shared" si="31"/>
        <v>3.09893E8</v>
      </c>
      <c r="I90" s="168" t="n">
        <f t="shared" si="31"/>
        <v>3.13194E8</v>
      </c>
      <c r="J90" s="730" t="n">
        <f t="shared" si="31"/>
        <v>3.373E8</v>
      </c>
      <c r="K90" s="730" t="n">
        <f t="shared" si="31"/>
        <v>2.75963E8</v>
      </c>
      <c r="L90" s="730" t="n">
        <f t="shared" si="31"/>
        <v>2.24551E8</v>
      </c>
      <c r="M90" s="929" t="n">
        <f t="shared" si="31"/>
        <v>2.32632E8</v>
      </c>
    </row>
    <row r="91" spans="1:13" s="291" customFormat="1" ht="13.5" customHeight="1">
      <c r="A91" s="173"/>
      <c r="B91" s="293" t="s">
        <v>308</v>
      </c>
      <c r="C91" s="294"/>
      <c r="D91" s="294"/>
      <c r="E91" s="295"/>
      <c r="F91" s="169"/>
      <c r="G91" s="186" t="n">
        <v>1.0</v>
      </c>
      <c r="H91" s="187" t="n">
        <v>1.0</v>
      </c>
      <c r="I91" s="188" t="n">
        <v>1.0</v>
      </c>
      <c r="J91" s="731" t="n">
        <v>1.0</v>
      </c>
      <c r="K91" s="731" t="n">
        <v>1.0</v>
      </c>
      <c r="L91" s="731" t="n">
        <v>1.0</v>
      </c>
      <c r="M91" s="930" t="n">
        <v>1.0</v>
      </c>
    </row>
    <row r="92" spans="1:13" s="291" customFormat="1" ht="13.5" customHeight="1">
      <c r="A92" s="173"/>
      <c r="B92" s="293" t="s">
        <v>309</v>
      </c>
      <c r="C92" s="294"/>
      <c r="D92" s="294"/>
      <c r="E92" s="295"/>
      <c r="F92" s="169"/>
      <c r="G92" s="189" t="n">
        <v>0.0</v>
      </c>
      <c r="H92" s="190" t="n">
        <v>0.0</v>
      </c>
      <c r="I92" s="191" t="n">
        <v>0.0</v>
      </c>
      <c r="J92" s="732" t="n">
        <v>0.0</v>
      </c>
      <c r="K92" s="732" t="n">
        <v>0.0</v>
      </c>
      <c r="L92" s="732" t="n">
        <v>0.0</v>
      </c>
      <c r="M92" s="931" t="n">
        <v>0.0</v>
      </c>
    </row>
    <row r="93" spans="1:13" s="291" customFormat="1" ht="13.5" customHeight="1">
      <c r="A93" s="182" t="s">
        <v>254</v>
      </c>
      <c r="B93" s="176"/>
      <c r="C93" s="177"/>
      <c r="D93" s="177"/>
      <c r="E93" s="296"/>
      <c r="F93" s="169"/>
      <c r="G93" s="183" t="n">
        <f>IF(G97&lt;&gt;0,IF(('(参考)保険料の推計に要する係数'!$D$5+0.05)-'(参考)保険料の推計に要する係数'!$D$5*G94*G97&gt;0,ROUND(('(参考)保険料の推計に要する係数'!$D$5+0.05)-('(参考)保険料の推計に要する係数'!$D$5*G94*G97),4),0),0)</f>
        <v>0.1048</v>
      </c>
      <c r="H93" s="183" t="n">
        <f>IF(H97&lt;&gt;0,IF(('(参考)保険料の推計に要する係数'!$D$5+0.05)-'(参考)保険料の推計に要する係数'!$D$5*H94*H97&gt;0,ROUND(('(参考)保険料の推計に要する係数'!$D$5+0.05)-('(参考)保険料の推計に要する係数'!$D$5*H94*H97),4),0),0)</f>
        <v>0.1084</v>
      </c>
      <c r="I93" s="184" t="n">
        <f>IF(I97&lt;&gt;0,IF(('(参考)保険料の推計に要する係数'!$D$5+0.05)-'(参考)保険料の推計に要する係数'!$D$5*I94*I97&gt;0,ROUND(('(参考)保険料の推計に要する係数'!$D$5+0.05)-('(参考)保険料の推計に要する係数'!$D$5*I94*I97),4),0),0)</f>
        <v>0.1091</v>
      </c>
      <c r="J93" s="733" t="n">
        <f>IF(J97&lt;&gt;0,IF(('(参考)保険料の推計に要する係数'!$E$5+0.05)-'(参考)保険料の推計に要する係数'!$E$5*J94*J97&gt;0,ROUND(('(参考)保険料の推計に要する係数'!$E$5+0.05)-('(参考)保険料の推計に要する係数'!$E$5*J94*J97),4),0),0)</f>
        <v>0.1175</v>
      </c>
      <c r="K93" s="733" t="n">
        <f>IF(K97&lt;&gt;0,IF(('(参考)保険料の推計に要する係数'!$F$5+0.05)-'(参考)保険料の推計に要する係数'!$F$5*K94*K97&gt;0,ROUND(('(参考)保険料の推計に要する係数'!$F$5+0.05)-('(参考)保険料の推計に要する係数'!$F$5*K94*K97),4),0),0)</f>
        <v>0.1057</v>
      </c>
      <c r="L93" s="733" t="n">
        <f>IF(L97&lt;&gt;0,IF(('(参考)保険料の推計に要する係数'!$G$5+0.05)-'(参考)保険料の推計に要する係数'!$G$5*L94*L97&gt;0,ROUND(('(参考)保険料の推計に要する係数'!$G$5+0.05)-('(参考)保険料の推計に要する係数'!$G$5*L94*L97),4),0),0)</f>
        <v>0.0937</v>
      </c>
      <c r="M93" s="932" t="n">
        <f>IF(M97&lt;&gt;0,IF(('(参考)保険料の推計に要する係数'!$H$5+0.05)-'(参考)保険料の推計に要する係数'!$H$5*M94*M97&gt;0,ROUND(('(参考)保険料の推計に要する係数'!$H$5+0.05)-('(参考)保険料の推計に要する係数'!$H$5*M94*M97),4),0),0)</f>
        <v>0.1031</v>
      </c>
    </row>
    <row r="94" spans="1:13" s="291" customFormat="1" ht="13.5" customHeight="1">
      <c r="A94" s="933"/>
      <c r="B94" s="176" t="s">
        <v>251</v>
      </c>
      <c r="C94" s="178"/>
      <c r="D94" s="178"/>
      <c r="E94" s="179"/>
      <c r="F94" s="169"/>
      <c r="G94" s="170" t="n">
        <f>ROUND((G95+G96)/2,4)</f>
        <v>0.7948</v>
      </c>
      <c r="H94" s="170" t="n">
        <f t="shared" ref="H94:I94" si="32">ROUND((H95+H96)/2,4)</f>
        <v>0.7787</v>
      </c>
      <c r="I94" s="171" t="n">
        <f t="shared" si="32"/>
        <v>0.7755</v>
      </c>
      <c r="J94" s="734" t="n">
        <f>J96</f>
        <v>0.7426</v>
      </c>
      <c r="K94" s="734" t="n">
        <f t="shared" ref="K94:M94" si="33">K96</f>
        <v>0.8015</v>
      </c>
      <c r="L94" s="734" t="n">
        <f t="shared" si="33"/>
        <v>0.8621</v>
      </c>
      <c r="M94" s="934" t="n">
        <f t="shared" si="33"/>
        <v>0.8367</v>
      </c>
    </row>
    <row r="95" spans="1:13" s="291" customFormat="1" ht="13.5" customHeight="1">
      <c r="A95" s="173"/>
      <c r="B95" s="935"/>
      <c r="C95" s="936" t="s">
        <v>337</v>
      </c>
      <c r="D95" s="936"/>
      <c r="E95" s="937"/>
      <c r="F95" s="169"/>
      <c r="G95" s="170" t="n">
        <f>IF(SUM(G108:G109)&gt;0,
                 ROUND(
                              (
                                    '(参考)保険料の推計に要する係数'!D9*'(参考)保険料の推計に要する係数'!D12
                                  +'(参考)保険料の推計に要する係数'!D10*'(参考)保険料の推計に要する係数'!D13
                                  +'(参考)保険料の推計に要する係数'!D11*'(参考)保険料の推計に要する係数'!D14
                              )
                              /
                              (
                                   ROUND(G108/G107,4)*'(参考)保険料の推計に要する係数'!D12
                                  +ROUND(G110/G107,4)*'(参考)保険料の推計に要する係数'!D13
                                  +ROUND(G111/G107,4)*'(参考)保険料の推計に要する係数'!D14
                              ),4),0)</f>
        <v>0.8106</v>
      </c>
      <c r="H95" s="170" t="n">
        <f>IF(SUM(H108:H109)&gt;0,
                 ROUND(
                              (
                                    '(参考)保険料の推計に要する係数'!E9*'(参考)保険料の推計に要する係数'!E12
                                  +'(参考)保険料の推計に要する係数'!E10*'(参考)保険料の推計に要する係数'!E13
                                  +'(参考)保険料の推計に要する係数'!E11*'(参考)保険料の推計に要する係数'!E14
                              )
                              /
                              (
                                   ROUND(H108/H107,4)*'(参考)保険料の推計に要する係数'!E12
                                  +ROUND(H110/H107,4)*'(参考)保険料の推計に要する係数'!E13
                                  +ROUND(H111/H107,4)*'(参考)保険料の推計に要する係数'!E14
                              ),4),0)</f>
        <v>0.7944</v>
      </c>
      <c r="I95" s="171" t="n">
        <f>IF(SUM(I108:I109)&gt;0,
                 ROUND(
                              (
                                    '(参考)保険料の推計に要する係数'!F9*'(参考)保険料の推計に要する係数'!F12
                                  +'(参考)保険料の推計に要する係数'!F10*'(参考)保険料の推計に要する係数'!F13
                                  +'(参考)保険料の推計に要する係数'!F11*'(参考)保険料の推計に要する係数'!F14
                              )
                              /
                              (
                                   ROUND(I108/I107,4)*'(参考)保険料の推計に要する係数'!F12
                                  +ROUND(I110/I107,4)*'(参考)保険料の推計に要する係数'!F13
                                  +ROUND(I111/I107,4)*'(参考)保険料の推計に要する係数'!F14
                              ),4),0)</f>
        <v>0.7907</v>
      </c>
      <c r="J95" s="938"/>
      <c r="K95" s="938"/>
      <c r="L95" s="938"/>
      <c r="M95" s="939"/>
    </row>
    <row r="96" spans="1:13" s="291" customFormat="1" ht="13.5" customHeight="1">
      <c r="A96" s="173"/>
      <c r="B96" s="940"/>
      <c r="C96" s="936" t="s">
        <v>338</v>
      </c>
      <c r="D96" s="936"/>
      <c r="E96" s="937"/>
      <c r="F96" s="169"/>
      <c r="G96" s="170" t="n">
        <f>IF(SUM(G108:G109)&gt;0,
                 ROUND(
                              (
                                    '(参考)保険料の推計に要する係数'!D9*'(参考)保険料の推計に要する係数'!D15
                                  +'(参考)保険料の推計に要する係数'!D10*'(参考)保険料の推計に要する係数'!D16
                                  +'(参考)保険料の推計に要する係数'!D11*'(参考)保険料の推計に要する係数'!D17
                              )
                              /
                              (
                                   ROUND(G108/G107,4)*'(参考)保険料の推計に要する係数'!D15
                                  +ROUND(G110/G107,4)*'(参考)保険料の推計に要する係数'!D16
                                  +ROUND(G111/G107,4)*'(参考)保険料の推計に要する係数'!D17
                              ),4),0)</f>
        <v>0.7789</v>
      </c>
      <c r="H96" s="170" t="n">
        <f>IF(SUM(H108:H109)&gt;0,
                 ROUND(
                              (
                                    '(参考)保険料の推計に要する係数'!E9*'(参考)保険料の推計に要する係数'!E15
                                  +'(参考)保険料の推計に要する係数'!E10*'(参考)保険料の推計に要する係数'!E16
                                  +'(参考)保険料の推計に要する係数'!E11*'(参考)保険料の推計に要する係数'!E17
                              )
                              /
                              (
                                   ROUND(H108/H107,4)*'(参考)保険料の推計に要する係数'!E15
                                  +ROUND(H110/H107,4)*'(参考)保険料の推計に要する係数'!E16
                                  +ROUND(H111/H107,4)*'(参考)保険料の推計に要する係数'!E17
                              ),4),0)</f>
        <v>0.763</v>
      </c>
      <c r="I96" s="171" t="n">
        <f>IF(SUM(I108:I109)&gt;0,
                 ROUND(
                              (
                                    '(参考)保険料の推計に要する係数'!F9*'(参考)保険料の推計に要する係数'!F15
                                  +'(参考)保険料の推計に要する係数'!F10*'(参考)保険料の推計に要する係数'!F16
                                  +'(参考)保険料の推計に要する係数'!F11*'(参考)保険料の推計に要する係数'!F17
                              )
                              /
                              (
                                   ROUND(I108/I107,4)*'(参考)保険料の推計に要する係数'!F15
                                  +ROUND(I110/I107,4)*'(参考)保険料の推計に要する係数'!F16
                                  +ROUND(I111/I107,4)*'(参考)保険料の推計に要する係数'!F17
                              ),4),0)</f>
        <v>0.7602</v>
      </c>
      <c r="J96" s="734" t="n">
        <f>IF(SUM(J108:J109)&gt;0,
                 ROUND(
                              (
                                    '(参考)保険料の推計に要する係数'!G9*'(参考)保険料の推計に要する係数'!G15
                                  +'(参考)保険料の推計に要する係数'!G10*'(参考)保険料の推計に要する係数'!G16
                                  +'(参考)保険料の推計に要する係数'!G11*'(参考)保険料の推計に要する係数'!G17
                              )
                              /
                              (
                                   ROUND(J108/J107,4)*'(参考)保険料の推計に要する係数'!G15
                                  +ROUND(J110/J107,4)*'(参考)保険料の推計に要する係数'!G16
                                  +ROUND(J111/J107,4)*'(参考)保険料の推計に要する係数'!G17
                              ),4),0)</f>
        <v>0.7426</v>
      </c>
      <c r="K96" s="734" t="n">
        <f>IF(SUM(K108:K109)&gt;0,
                 ROUND(
                              (
                                    '(参考)保険料の推計に要する係数'!H9*'(参考)保険料の推計に要する係数'!H15
                                  +'(参考)保険料の推計に要する係数'!H10*'(参考)保険料の推計に要する係数'!H16
                                  +'(参考)保険料の推計に要する係数'!H11*'(参考)保険料の推計に要する係数'!H17
                              )
                              /
                              (
                                   ROUND(K108/K107,4)*'(参考)保険料の推計に要する係数'!H15
                                  +ROUND(K110/K107,4)*'(参考)保険料の推計に要する係数'!H16
                                  +ROUND(K111/K107,4)*'(参考)保険料の推計に要する係数'!H17
                              ),4),0)</f>
        <v>0.8015</v>
      </c>
      <c r="L96" s="734" t="n">
        <f>IF(SUM(L108:L109)&gt;0,
                 ROUND(
                              (
                                    '(参考)保険料の推計に要する係数'!I9*'(参考)保険料の推計に要する係数'!I15
                                  +'(参考)保険料の推計に要する係数'!I10*'(参考)保険料の推計に要する係数'!I16
                                  +'(参考)保険料の推計に要する係数'!I11*'(参考)保険料の推計に要する係数'!I17
                              )
                              /
                              (
                                   ROUND(L108/L107,4)*'(参考)保険料の推計に要する係数'!I15
                                  +ROUND(L110/L107,4)*'(参考)保険料の推計に要する係数'!I16
                                  +ROUND(L111/L107,4)*'(参考)保険料の推計に要する係数'!I17
                              ),4),0)</f>
        <v>0.8621</v>
      </c>
      <c r="M96" s="934" t="n">
        <f>IF(SUM(M108:M109)&gt;0,
                 ROUND(
                              (
                                    '(参考)保険料の推計に要する係数'!J9*'(参考)保険料の推計に要する係数'!J15
                                  +'(参考)保険料の推計に要する係数'!J10*'(参考)保険料の推計に要する係数'!J16
                                  +'(参考)保険料の推計に要する係数'!J11*'(参考)保険料の推計に要する係数'!J17
                              )
                              /
                              (
                                   ROUND(M108/M107,4)*'(参考)保険料の推計に要する係数'!J15
                                  +ROUND(M110/M107,4)*'(参考)保険料の推計に要する係数'!J16
                                  +ROUND(M111/M107,4)*'(参考)保険料の推計に要する係数'!J17
                              ),4),0)</f>
        <v>0.8367</v>
      </c>
    </row>
    <row r="97" spans="1:13" s="291" customFormat="1" ht="13.5" customHeight="1">
      <c r="A97" s="173"/>
      <c r="B97" s="174" t="s">
        <v>252</v>
      </c>
      <c r="C97" s="180"/>
      <c r="D97" s="180"/>
      <c r="E97" s="181"/>
      <c r="F97" s="169"/>
      <c r="G97" s="170" t="n">
        <f>IF(G133&gt;0,ROUND(
                            1-(
                                    0.5*(ROUND(G113,3)-'(参考)保険料の推計に要する係数'!$D20)
                                 +0.25*(ROUND(G114,3)-'(参考)保険料の推計に要する係数'!$D21)
                                 +0.25*(ROUND(G115,3)-'(参考)保険料の推計に要する係数'!$D22)
                                   +0.1*(ROUND(G116,3)-'(参考)保険料の推計に要する係数'!$D23)
                                     +0*(ROUND(G117,3)-'(参考)保険料の推計に要する係数'!$D24)
                                   -0.2*(ROUND(G118,3)-'(参考)保険料の推計に要する係数'!$D25)
                                   -0.3*(ROUND(G119,3)-'(参考)保険料の推計に要する係数'!$D26)
                                   -0.5*(ROUND(G120,3)-'(参考)保険料の推計に要する係数'!$D27)
                                   -0.7*(ROUND(G121,3)-'(参考)保険料の推計に要する係数'!$D28)
                                 ),4),0)</f>
        <v>0.9582</v>
      </c>
      <c r="H97" s="170" t="n">
        <f>IF(H133&gt;0,ROUND(
                            1-(
                                    0.5*(ROUND(H113,3)-'(参考)保険料の推計に要する係数'!$D20)
                                 +0.25*(ROUND(H114,3)-'(参考)保険料の推計に要する係数'!$D21)
                                 +0.25*(ROUND(H115,3)-'(参考)保険料の推計に要する係数'!$D22)
                                   +0.1*(ROUND(H116,3)-'(参考)保険料の推計に要する係数'!$D23)
                                     +0*(ROUND(H117,3)-'(参考)保険料の推計に要する係数'!$D24)
                                   -0.2*(ROUND(H118,3)-'(参考)保険料の推計に要する係数'!$D25)
                                   -0.3*(ROUND(H119,3)-'(参考)保険料の推計に要する係数'!$D26)
                                   -0.5*(ROUND(H120,3)-'(参考)保険料の推計に要する係数'!$D27)
                                   -0.7*(ROUND(H121,3)-'(参考)保険料の推計に要する係数'!$D28)
                                 ),4),0)</f>
        <v>0.9582</v>
      </c>
      <c r="I97" s="171" t="n">
        <f>IF(I133&gt;0,ROUND(
                            1-(
                                    0.5*(ROUND(I113,3)-'(参考)保険料の推計に要する係数'!$D20)
                                 +0.25*(ROUND(I114,3)-'(参考)保険料の推計に要する係数'!$D21)
                                 +0.25*(ROUND(I115,3)-'(参考)保険料の推計に要する係数'!$D22)
                                   +0.1*(ROUND(I116,3)-'(参考)保険料の推計に要する係数'!$D23)
                                     +0*(ROUND(I117,3)-'(参考)保険料の推計に要する係数'!$D24)
                                   -0.2*(ROUND(I118,3)-'(参考)保険料の推計に要する係数'!$D25)
                                   -0.3*(ROUND(I119,3)-'(参考)保険料の推計に要する係数'!$D26)
                                   -0.5*(ROUND(I120,3)-'(参考)保険料の推計に要する係数'!$D27)
                                   -0.7*(ROUND(I121,3)-'(参考)保険料の推計に要する係数'!$D28)
                                 ),4),0)</f>
        <v>0.9582</v>
      </c>
      <c r="J97" s="734" t="n">
        <f>IF(J133&gt;0,ROUND(
                            1-(
                                    0.5*(ROUND(J113,3)-'(参考)保険料の推計に要する係数'!$D20)
                                 +0.25*(ROUND(J114,3)-'(参考)保険料の推計に要する係数'!$D21)
                                 +0.25*(ROUND(J115,3)-'(参考)保険料の推計に要する係数'!$D22)
                                   +0.1*(ROUND(J116,3)-'(参考)保険料の推計に要する係数'!$D23)
                                     +0*(ROUND(J117,3)-'(参考)保険料の推計に要する係数'!$D24)
                                   -0.2*(ROUND(J118,3)-'(参考)保険料の推計に要する係数'!$D25)
                                   -0.3*(ROUND(J119,3)-'(参考)保険料の推計に要する係数'!$D26)
                                   -0.5*(ROUND(J120,3)-'(参考)保険料の推計に要する係数'!$D27)
                                   -0.7*(ROUND(J121,3)-'(参考)保険料の推計に要する係数'!$D28)
                                 ),4),0)</f>
        <v>0.9582</v>
      </c>
      <c r="K97" s="734" t="n">
        <f>IF(K133&gt;0,ROUND(
                            1-(
                                    0.5*(ROUND(K113,3)-'(参考)保険料の推計に要する係数'!$D20)
                                 +0.25*(ROUND(K114,3)-'(参考)保険料の推計に要する係数'!$D21)
                                 +0.25*(ROUND(K115,3)-'(参考)保険料の推計に要する係数'!$D22)
                                   +0.1*(ROUND(K116,3)-'(参考)保険料の推計に要する係数'!$D23)
                                     +0*(ROUND(K117,3)-'(参考)保険料の推計に要する係数'!$D24)
                                   -0.2*(ROUND(K118,3)-'(参考)保険料の推計に要する係数'!$D25)
                                   -0.3*(ROUND(K119,3)-'(参考)保険料の推計に要する係数'!$D26)
                                   -0.5*(ROUND(K120,3)-'(参考)保険料の推計に要する係数'!$D27)
                                   -0.7*(ROUND(K121,3)-'(参考)保険料の推計に要する係数'!$D28)
                                 ),4),0)</f>
        <v>0.9582</v>
      </c>
      <c r="L97" s="734" t="n">
        <f>IF(L133&gt;0,ROUND(
                            1-(
                                    0.5*(ROUND(L113,3)-'(参考)保険料の推計に要する係数'!$D20)
                                 +0.25*(ROUND(L114,3)-'(参考)保険料の推計に要する係数'!$D21)
                                 +0.25*(ROUND(L115,3)-'(参考)保険料の推計に要する係数'!$D22)
                                   +0.1*(ROUND(L116,3)-'(参考)保険料の推計に要する係数'!$D23)
                                     +0*(ROUND(L117,3)-'(参考)保険料の推計に要する係数'!$D24)
                                   -0.2*(ROUND(L118,3)-'(参考)保険料の推計に要する係数'!$D25)
                                   -0.3*(ROUND(L119,3)-'(参考)保険料の推計に要する係数'!$D26)
                                   -0.5*(ROUND(L120,3)-'(参考)保険料の推計に要する係数'!$D27)
                                   -0.7*(ROUND(L121,3)-'(参考)保険料の推計に要する係数'!$D28)
                                 ),4),0)</f>
        <v>0.9582</v>
      </c>
      <c r="M97" s="934" t="n">
        <f>IF(M133&gt;0,ROUND(
                            1-(
                                    0.5*(ROUND(M113,3)-'(参考)保険料の推計に要する係数'!$D20)
                                 +0.25*(ROUND(M114,3)-'(参考)保険料の推計に要する係数'!$D21)
                                 +0.25*(ROUND(M115,3)-'(参考)保険料の推計に要する係数'!$D22)
                                   +0.1*(ROUND(M116,3)-'(参考)保険料の推計に要する係数'!$D23)
                                     +0*(ROUND(M117,3)-'(参考)保険料の推計に要する係数'!$D24)
                                   -0.2*(ROUND(M118,3)-'(参考)保険料の推計に要する係数'!$D25)
                                   -0.3*(ROUND(M119,3)-'(参考)保険料の推計に要する係数'!$D26)
                                   -0.5*(ROUND(M120,3)-'(参考)保険料の推計に要する係数'!$D27)
                                   -0.7*(ROUND(M121,3)-'(参考)保険料の推計に要する係数'!$D28)
                                 ),4),0)</f>
        <v>0.9582</v>
      </c>
    </row>
    <row r="98" spans="1:13">
      <c r="A98" s="297" t="s">
        <v>162</v>
      </c>
      <c r="B98" s="298"/>
      <c r="C98" s="298"/>
      <c r="D98" s="298"/>
      <c r="E98" s="298"/>
      <c r="F98" s="162" t="n">
        <f>SUM(G98:I98)</f>
        <v>0.0</v>
      </c>
      <c r="G98" s="273" t="n">
        <v>0.0</v>
      </c>
      <c r="H98" s="299" t="n">
        <v>0.0</v>
      </c>
      <c r="I98" s="300" t="n">
        <v>0.0</v>
      </c>
      <c r="J98" s="728" t="n">
        <v>0.0</v>
      </c>
      <c r="K98" s="909" t="n">
        <v>0.0</v>
      </c>
      <c r="L98" s="909" t="n">
        <v>0.0</v>
      </c>
      <c r="M98" s="910" t="n">
        <v>0.0</v>
      </c>
    </row>
    <row r="99" spans="1:13">
      <c r="A99" s="301" t="s">
        <v>163</v>
      </c>
      <c r="B99" s="227"/>
      <c r="C99" s="227"/>
      <c r="D99" s="227"/>
      <c r="E99" s="227"/>
      <c r="F99" s="302" t="n">
        <v>0.0</v>
      </c>
      <c r="G99" s="303"/>
      <c r="H99" s="304"/>
      <c r="I99" s="305"/>
      <c r="J99" s="728" t="n">
        <v>0.0</v>
      </c>
      <c r="K99" s="909" t="n">
        <v>0.0</v>
      </c>
      <c r="L99" s="909" t="n">
        <v>0.0</v>
      </c>
      <c r="M99" s="910" t="n">
        <v>0.0</v>
      </c>
    </row>
    <row r="100" spans="1:13" ht="14.25" thickBot="1">
      <c r="A100" s="306" t="s">
        <v>424</v>
      </c>
      <c r="B100" s="307"/>
      <c r="C100" s="307"/>
      <c r="D100" s="307"/>
      <c r="E100" s="307"/>
      <c r="F100" s="308" t="n">
        <v>0.0</v>
      </c>
      <c r="G100" s="309"/>
      <c r="H100" s="310"/>
      <c r="I100" s="311"/>
      <c r="J100" s="735" t="n">
        <v>0.0</v>
      </c>
      <c r="K100" s="941" t="n">
        <v>0.0</v>
      </c>
      <c r="L100" s="941" t="n">
        <v>0.0</v>
      </c>
      <c r="M100" s="942" t="n">
        <v>0.0</v>
      </c>
    </row>
    <row r="101" spans="1:13" ht="14.25" thickBot="1">
      <c r="A101" s="220" t="s">
        <v>164</v>
      </c>
      <c r="B101" s="221"/>
      <c r="C101" s="221"/>
      <c r="D101" s="221"/>
      <c r="E101" s="221"/>
      <c r="F101" s="312" t="n">
        <f>F88+F89-F90+F18+F21-F15+F83+F98+F99-F100</f>
        <v>1.4995671119199996E9</v>
      </c>
      <c r="G101" s="313"/>
      <c r="H101" s="314"/>
      <c r="I101" s="315"/>
      <c r="J101" s="736" t="n">
        <f>J88+J89-J90+G18+G21-G15+J83+J98+J99-J100</f>
        <v>4.882731480640001E8</v>
      </c>
      <c r="K101" s="943" t="n">
        <f>K88+K89-K90+H18+H21-H15+K83+K98+K99-K100</f>
        <v>4.807586465E8</v>
      </c>
      <c r="L101" s="943" t="n">
        <f>L88+L89-L90+I18+I21-I15+L83+L98+L99-L100</f>
        <v>4.92408594832E8</v>
      </c>
      <c r="M101" s="944" t="n">
        <f>M88+M89-M90+J18+J21-J15+M83+M98+M99-M100</f>
        <v>4.818123601580001E8</v>
      </c>
    </row>
    <row r="102" spans="1:13" ht="14.25" thickBot="1">
      <c r="A102" s="216" t="s">
        <v>165</v>
      </c>
      <c r="B102" s="217"/>
      <c r="C102" s="217"/>
      <c r="D102" s="217"/>
      <c r="E102" s="217"/>
      <c r="F102" s="316" t="n">
        <v>0.9967</v>
      </c>
      <c r="G102" s="317"/>
      <c r="H102" s="318"/>
      <c r="I102" s="319"/>
      <c r="J102" s="737" t="n">
        <v>0.9962</v>
      </c>
      <c r="K102" s="945" t="n">
        <v>0.9967</v>
      </c>
      <c r="L102" s="945" t="n">
        <v>0.9967</v>
      </c>
      <c r="M102" s="946" t="n">
        <v>0.9967</v>
      </c>
    </row>
    <row r="103" spans="1:13">
      <c r="A103" s="214"/>
      <c r="B103" s="214"/>
      <c r="C103" s="214"/>
      <c r="D103" s="214"/>
      <c r="E103" s="214"/>
      <c r="F103" s="320"/>
      <c r="G103" s="214"/>
      <c r="H103" s="214"/>
      <c r="I103" s="214"/>
      <c r="J103" s="214"/>
    </row>
    <row r="104" spans="1:13" ht="14.25" thickBot="1">
      <c r="A104" s="215" t="s">
        <v>166</v>
      </c>
    </row>
    <row r="105" spans="1:13">
      <c r="A105" s="248"/>
      <c r="B105" s="249"/>
      <c r="C105" s="249"/>
      <c r="D105" s="249"/>
      <c r="E105" s="249"/>
      <c r="F105" s="1104" t="s">
        <v>386</v>
      </c>
      <c r="G105" s="1105"/>
      <c r="H105" s="1105"/>
      <c r="I105" s="1106"/>
      <c r="J105" s="1107" t="s">
        <v>266</v>
      </c>
      <c r="K105" s="1107" t="s">
        <v>329</v>
      </c>
      <c r="L105" s="1107" t="s">
        <v>330</v>
      </c>
      <c r="M105" s="1119" t="s">
        <v>331</v>
      </c>
    </row>
    <row r="106" spans="1:13" ht="14.25" thickBot="1">
      <c r="A106" s="250"/>
      <c r="B106" s="214"/>
      <c r="C106" s="214"/>
      <c r="D106" s="214"/>
      <c r="E106" s="214"/>
      <c r="F106" s="251" t="s">
        <v>153</v>
      </c>
      <c r="G106" s="252" t="s">
        <v>259</v>
      </c>
      <c r="H106" s="253" t="s">
        <v>260</v>
      </c>
      <c r="I106" s="254" t="s">
        <v>261</v>
      </c>
      <c r="J106" s="1108"/>
      <c r="K106" s="1118"/>
      <c r="L106" s="1118"/>
      <c r="M106" s="1120"/>
    </row>
    <row r="107" spans="1:13">
      <c r="A107" s="137" t="s">
        <v>167</v>
      </c>
      <c r="B107" s="138"/>
      <c r="C107" s="138"/>
      <c r="D107" s="138"/>
      <c r="E107" s="321"/>
      <c r="F107" s="692" t="n">
        <f>SUM(G107:I107)</f>
        <v>20428.0</v>
      </c>
      <c r="G107" s="322" t="n">
        <f>'1_推計値サマリ'!G12</f>
        <v>6850.0</v>
      </c>
      <c r="H107" s="322" t="n">
        <f>'1_推計値サマリ'!H12</f>
        <v>6815.0</v>
      </c>
      <c r="I107" s="323" t="n">
        <f>'1_推計値サマリ'!I12</f>
        <v>6763.0</v>
      </c>
      <c r="J107" s="717" t="n">
        <f>'1_推計値サマリ'!K12</f>
        <v>6655.0</v>
      </c>
      <c r="K107" s="947" t="n">
        <f>'1_推計値サマリ'!M12</f>
        <v>6258.0</v>
      </c>
      <c r="L107" s="947" t="n">
        <f>'1_推計値サマリ'!O12</f>
        <v>5882.0</v>
      </c>
      <c r="M107" s="948" t="n">
        <f>'1_推計値サマリ'!Q12</f>
        <v>5528.0</v>
      </c>
    </row>
    <row r="108" spans="1:13">
      <c r="A108" s="129"/>
      <c r="B108" s="141" t="s">
        <v>168</v>
      </c>
      <c r="C108" s="142"/>
      <c r="D108" s="142"/>
      <c r="E108" s="147"/>
      <c r="F108" s="693" t="n">
        <f>SUM(G108:I108)</f>
        <v>7859.0</v>
      </c>
      <c r="G108" s="324" t="n">
        <v>2842.0</v>
      </c>
      <c r="H108" s="324" t="n">
        <v>2601.0</v>
      </c>
      <c r="I108" s="325" t="n">
        <v>2416.0</v>
      </c>
      <c r="J108" s="714" t="n">
        <v>2080.0</v>
      </c>
      <c r="K108" s="432" t="n">
        <v>1956.0</v>
      </c>
      <c r="L108" s="432" t="n">
        <v>1839.0</v>
      </c>
      <c r="M108" s="949" t="n">
        <v>1729.0</v>
      </c>
    </row>
    <row r="109" spans="1:13">
      <c r="A109" s="129"/>
      <c r="B109" s="164" t="s">
        <v>250</v>
      </c>
      <c r="C109" s="326"/>
      <c r="D109" s="326"/>
      <c r="E109" s="327"/>
      <c r="F109" s="328" t="n">
        <f>SUM(F110:F111)</f>
        <v>12569.0</v>
      </c>
      <c r="G109" s="329" t="n">
        <f>SUM(G110:G111)</f>
        <v>4008.0</v>
      </c>
      <c r="H109" s="329" t="n">
        <f t="shared" ref="H109:J109" si="34">SUM(H110:H111)</f>
        <v>4214.0</v>
      </c>
      <c r="I109" s="330" t="n">
        <f t="shared" si="34"/>
        <v>4347.0</v>
      </c>
      <c r="J109" s="718" t="n">
        <f t="shared" si="34"/>
        <v>4575.0</v>
      </c>
      <c r="K109" s="950" t="n">
        <f t="shared" ref="K109:M109" si="35">SUM(K110:K111)</f>
        <v>4302.0</v>
      </c>
      <c r="L109" s="950" t="n">
        <f t="shared" si="35"/>
        <v>4043.0</v>
      </c>
      <c r="M109" s="951" t="n">
        <f t="shared" si="35"/>
        <v>3799.0</v>
      </c>
    </row>
    <row r="110" spans="1:13">
      <c r="A110" s="129"/>
      <c r="B110" s="165"/>
      <c r="C110" s="142" t="s">
        <v>237</v>
      </c>
      <c r="D110" s="142"/>
      <c r="E110" s="147"/>
      <c r="F110" s="693" t="n">
        <f>SUM(G110:I110)</f>
        <v>7027.0</v>
      </c>
      <c r="G110" s="324" t="n">
        <v>2228.0</v>
      </c>
      <c r="H110" s="324" t="n">
        <v>2351.0</v>
      </c>
      <c r="I110" s="325" t="n">
        <v>2448.0</v>
      </c>
      <c r="J110" s="714" t="n">
        <v>2565.0</v>
      </c>
      <c r="K110" s="432" t="n">
        <v>2412.0</v>
      </c>
      <c r="L110" s="432" t="n">
        <v>2267.0</v>
      </c>
      <c r="M110" s="949" t="n">
        <v>2130.0</v>
      </c>
    </row>
    <row r="111" spans="1:13">
      <c r="A111" s="129"/>
      <c r="B111" s="166"/>
      <c r="C111" s="142" t="s">
        <v>234</v>
      </c>
      <c r="D111" s="142"/>
      <c r="E111" s="147"/>
      <c r="F111" s="693" t="n">
        <f>SUM(G111:I111)</f>
        <v>5542.0</v>
      </c>
      <c r="G111" s="324" t="n">
        <v>1780.0</v>
      </c>
      <c r="H111" s="324" t="n">
        <v>1863.0</v>
      </c>
      <c r="I111" s="325" t="n">
        <v>1899.0</v>
      </c>
      <c r="J111" s="714" t="n">
        <v>2010.0</v>
      </c>
      <c r="K111" s="432" t="n">
        <v>1890.0</v>
      </c>
      <c r="L111" s="432" t="n">
        <v>1776.0</v>
      </c>
      <c r="M111" s="949" t="n">
        <v>1669.0</v>
      </c>
    </row>
    <row r="112" spans="1:13">
      <c r="A112" s="129"/>
      <c r="B112" s="139" t="s">
        <v>169</v>
      </c>
      <c r="C112" s="130"/>
      <c r="D112" s="130"/>
      <c r="E112" s="331"/>
      <c r="F112" s="332"/>
      <c r="G112" s="333"/>
      <c r="H112" s="333"/>
      <c r="I112" s="334"/>
      <c r="J112" s="719"/>
      <c r="K112" s="952"/>
      <c r="L112" s="952"/>
      <c r="M112" s="953"/>
    </row>
    <row r="113" spans="1:13">
      <c r="A113" s="129"/>
      <c r="B113" s="139"/>
      <c r="C113" s="132" t="s">
        <v>170</v>
      </c>
      <c r="D113" s="133"/>
      <c r="E113" s="145"/>
      <c r="F113" s="335" t="n">
        <f t="shared" ref="F113:M113" si="36">IF(F$107&gt;0,F124/F$107,0)</f>
        <v>0.13099667123555903</v>
      </c>
      <c r="G113" s="336" t="n">
        <f t="shared" si="36"/>
        <v>0.13094890510948906</v>
      </c>
      <c r="H113" s="336" t="n">
        <f t="shared" si="36"/>
        <v>0.1310344827586207</v>
      </c>
      <c r="I113" s="337" t="n">
        <f t="shared" si="36"/>
        <v>0.13100694957858938</v>
      </c>
      <c r="J113" s="720" t="n">
        <f t="shared" si="36"/>
        <v>0.13102930127723517</v>
      </c>
      <c r="K113" s="954" t="n">
        <f t="shared" si="36"/>
        <v>0.1311920741450943</v>
      </c>
      <c r="L113" s="954" t="n">
        <f t="shared" si="36"/>
        <v>0.13107786467188032</v>
      </c>
      <c r="M113" s="955" t="n">
        <f t="shared" si="36"/>
        <v>0.131150506512301</v>
      </c>
    </row>
    <row r="114" spans="1:13">
      <c r="A114" s="129"/>
      <c r="B114" s="139"/>
      <c r="C114" s="132" t="s">
        <v>171</v>
      </c>
      <c r="D114" s="133"/>
      <c r="E114" s="145"/>
      <c r="F114" s="335" t="n">
        <f t="shared" ref="F114:J122" si="37">IF(F$107&gt;0,F125/F$107,0)</f>
        <v>0.14729782651262974</v>
      </c>
      <c r="G114" s="336" t="n">
        <f t="shared" si="37"/>
        <v>0.1472992700729927</v>
      </c>
      <c r="H114" s="336" t="n">
        <f t="shared" si="37"/>
        <v>0.14732208363903154</v>
      </c>
      <c r="I114" s="337" t="n">
        <f t="shared" si="37"/>
        <v>0.1472719207452314</v>
      </c>
      <c r="J114" s="720" t="n">
        <f t="shared" si="37"/>
        <v>0.14725770097670923</v>
      </c>
      <c r="K114" s="954" t="n">
        <f t="shared" ref="K114:M114" si="38">IF(K$107&gt;0,K125/K$107,0)</f>
        <v>0.14733141578779163</v>
      </c>
      <c r="L114" s="954" t="n">
        <f t="shared" si="38"/>
        <v>0.1472288337300238</v>
      </c>
      <c r="M114" s="955" t="n">
        <f t="shared" si="38"/>
        <v>0.1472503617945007</v>
      </c>
    </row>
    <row r="115" spans="1:13">
      <c r="A115" s="129"/>
      <c r="B115" s="139"/>
      <c r="C115" s="132" t="s">
        <v>126</v>
      </c>
      <c r="D115" s="133"/>
      <c r="E115" s="145"/>
      <c r="F115" s="335" t="n">
        <f t="shared" si="37"/>
        <v>0.12585666731936557</v>
      </c>
      <c r="G115" s="336" t="n">
        <f t="shared" si="37"/>
        <v>0.12583941605839416</v>
      </c>
      <c r="H115" s="336" t="n">
        <f t="shared" si="37"/>
        <v>0.12589875275128393</v>
      </c>
      <c r="I115" s="337" t="n">
        <f t="shared" si="37"/>
        <v>0.12583173148011237</v>
      </c>
      <c r="J115" s="720" t="n">
        <f t="shared" si="37"/>
        <v>0.12592036063110443</v>
      </c>
      <c r="K115" s="954" t="n">
        <f t="shared" ref="K115:M115" si="39">IF(K$107&gt;0,K126/K$107,0)</f>
        <v>0.1259188239054011</v>
      </c>
      <c r="L115" s="954" t="n">
        <f t="shared" si="39"/>
        <v>0.1259775586535192</v>
      </c>
      <c r="M115" s="955" t="n">
        <f t="shared" si="39"/>
        <v>0.12590448625180897</v>
      </c>
    </row>
    <row r="116" spans="1:13">
      <c r="A116" s="129"/>
      <c r="B116" s="139"/>
      <c r="C116" s="132" t="s">
        <v>127</v>
      </c>
      <c r="D116" s="133"/>
      <c r="E116" s="145"/>
      <c r="F116" s="335" t="n">
        <f t="shared" si="37"/>
        <v>0.07528881926767182</v>
      </c>
      <c r="G116" s="336" t="n">
        <f t="shared" si="37"/>
        <v>0.07532846715328467</v>
      </c>
      <c r="H116" s="336" t="n">
        <f t="shared" si="37"/>
        <v>0.07527512839325018</v>
      </c>
      <c r="I116" s="337" t="n">
        <f t="shared" si="37"/>
        <v>0.0752624574892799</v>
      </c>
      <c r="J116" s="720" t="n">
        <f t="shared" si="37"/>
        <v>0.07528174305033809</v>
      </c>
      <c r="K116" s="954" t="n">
        <f t="shared" ref="K116:M116" si="40">IF(K$107&gt;0,K127/K$107,0)</f>
        <v>0.07526366251198466</v>
      </c>
      <c r="L116" s="954" t="n">
        <f t="shared" si="40"/>
        <v>0.07531451887113227</v>
      </c>
      <c r="M116" s="955" t="n">
        <f t="shared" si="40"/>
        <v>0.07525325615050651</v>
      </c>
    </row>
    <row r="117" spans="1:13">
      <c r="A117" s="129"/>
      <c r="B117" s="139"/>
      <c r="C117" s="132" t="s">
        <v>128</v>
      </c>
      <c r="D117" s="133"/>
      <c r="E117" s="145"/>
      <c r="F117" s="335" t="n">
        <f t="shared" si="37"/>
        <v>0.19013119248090857</v>
      </c>
      <c r="G117" s="336" t="n">
        <f t="shared" si="37"/>
        <v>0.19007299270072991</v>
      </c>
      <c r="H117" s="336" t="n">
        <f t="shared" si="37"/>
        <v>0.19016874541452677</v>
      </c>
      <c r="I117" s="337" t="n">
        <f t="shared" si="37"/>
        <v>0.19015229927546948</v>
      </c>
      <c r="J117" s="720" t="n">
        <f t="shared" si="37"/>
        <v>0.19008264462809918</v>
      </c>
      <c r="K117" s="954" t="n">
        <f t="shared" ref="K117:M117" si="41">IF(K$107&gt;0,K128/K$107,0)</f>
        <v>0.19015659955257272</v>
      </c>
      <c r="L117" s="954" t="n">
        <f t="shared" si="41"/>
        <v>0.19007140428425706</v>
      </c>
      <c r="M117" s="955" t="n">
        <f t="shared" si="41"/>
        <v>0.19012301013024602</v>
      </c>
    </row>
    <row r="118" spans="1:13">
      <c r="A118" s="129"/>
      <c r="B118" s="139"/>
      <c r="C118" s="132" t="s">
        <v>238</v>
      </c>
      <c r="D118" s="133"/>
      <c r="E118" s="145"/>
      <c r="F118" s="335" t="n">
        <f t="shared" si="37"/>
        <v>0.16687879381241433</v>
      </c>
      <c r="G118" s="336" t="n">
        <f t="shared" si="37"/>
        <v>0.16686131386861314</v>
      </c>
      <c r="H118" s="336" t="n">
        <f t="shared" si="37"/>
        <v>0.16683785766691123</v>
      </c>
      <c r="I118" s="337" t="n">
        <f t="shared" si="37"/>
        <v>0.16693774951944404</v>
      </c>
      <c r="J118" s="720" t="n">
        <f t="shared" si="37"/>
        <v>0.1669421487603306</v>
      </c>
      <c r="K118" s="954" t="n">
        <f t="shared" ref="K118:M118" si="42">IF(K$107&gt;0,K129/K$107,0)</f>
        <v>0.16682646212847554</v>
      </c>
      <c r="L118" s="954" t="n">
        <f t="shared" si="42"/>
        <v>0.16695001700102005</v>
      </c>
      <c r="M118" s="955" t="n">
        <f t="shared" si="42"/>
        <v>0.16696816208393633</v>
      </c>
    </row>
    <row r="119" spans="1:13">
      <c r="A119" s="129"/>
      <c r="B119" s="139"/>
      <c r="C119" s="132" t="s">
        <v>239</v>
      </c>
      <c r="D119" s="133"/>
      <c r="E119" s="145"/>
      <c r="F119" s="335" t="n">
        <f t="shared" si="37"/>
        <v>0.10172312512238105</v>
      </c>
      <c r="G119" s="336" t="n">
        <f t="shared" si="37"/>
        <v>0.10175182481751825</v>
      </c>
      <c r="H119" s="336" t="n">
        <f t="shared" si="37"/>
        <v>0.1016874541452678</v>
      </c>
      <c r="I119" s="337" t="n">
        <f t="shared" si="37"/>
        <v>0.10173000147863374</v>
      </c>
      <c r="J119" s="720" t="n">
        <f t="shared" si="37"/>
        <v>0.10172802404207362</v>
      </c>
      <c r="K119" s="954" t="n">
        <f t="shared" ref="K119:M119" si="43">IF(K$107&gt;0,K130/K$107,0)</f>
        <v>0.10162991371045062</v>
      </c>
      <c r="L119" s="954" t="n">
        <f t="shared" si="43"/>
        <v>0.10166609996599796</v>
      </c>
      <c r="M119" s="955" t="n">
        <f t="shared" si="43"/>
        <v>0.10166425470332852</v>
      </c>
    </row>
    <row r="120" spans="1:13">
      <c r="A120" s="129"/>
      <c r="B120" s="139"/>
      <c r="C120" s="132" t="s">
        <v>240</v>
      </c>
      <c r="D120" s="133"/>
      <c r="E120" s="145"/>
      <c r="F120" s="335" t="n">
        <f t="shared" si="37"/>
        <v>0.03441355002937145</v>
      </c>
      <c r="G120" s="336" t="n">
        <f t="shared" si="37"/>
        <v>0.03445255474452555</v>
      </c>
      <c r="H120" s="336" t="n">
        <f t="shared" si="37"/>
        <v>0.03433602347762289</v>
      </c>
      <c r="I120" s="337" t="n">
        <f t="shared" si="37"/>
        <v>0.03445216619843265</v>
      </c>
      <c r="J120" s="720" t="n">
        <f t="shared" si="37"/>
        <v>0.03441021788129226</v>
      </c>
      <c r="K120" s="954" t="n">
        <f t="shared" ref="K120:M120" si="44">IF(K$107&gt;0,K131/K$107,0)</f>
        <v>0.03435602428891019</v>
      </c>
      <c r="L120" s="954" t="n">
        <f t="shared" si="44"/>
        <v>0.03434206052363142</v>
      </c>
      <c r="M120" s="955" t="n">
        <f t="shared" si="44"/>
        <v>0.034370477568740954</v>
      </c>
    </row>
    <row r="121" spans="1:13">
      <c r="A121" s="129"/>
      <c r="B121" s="139"/>
      <c r="C121" s="132" t="s">
        <v>241</v>
      </c>
      <c r="D121" s="133"/>
      <c r="E121" s="145"/>
      <c r="F121" s="335" t="n">
        <f t="shared" si="37"/>
        <v>0.027413354219698455</v>
      </c>
      <c r="G121" s="336" t="n">
        <f t="shared" si="37"/>
        <v>0.027445255474452555</v>
      </c>
      <c r="H121" s="336" t="n">
        <f t="shared" si="37"/>
        <v>0.02743947175348496</v>
      </c>
      <c r="I121" s="337" t="n">
        <f t="shared" si="37"/>
        <v>0.02735472423480704</v>
      </c>
      <c r="J121" s="720" t="n">
        <f t="shared" si="37"/>
        <v>0.02734785875281743</v>
      </c>
      <c r="K121" s="954" t="n">
        <f t="shared" ref="K121:M121" si="45">IF(K$107&gt;0,K132/K$107,0)</f>
        <v>0.02732502396931927</v>
      </c>
      <c r="L121" s="954" t="n">
        <f t="shared" si="45"/>
        <v>0.02737164229853791</v>
      </c>
      <c r="M121" s="955" t="n">
        <f t="shared" si="45"/>
        <v>0.02731548480463097</v>
      </c>
    </row>
    <row r="122" spans="1:13">
      <c r="A122" s="129"/>
      <c r="B122" s="139"/>
      <c r="C122" s="132" t="s">
        <v>37</v>
      </c>
      <c r="D122" s="133"/>
      <c r="E122" s="145"/>
      <c r="F122" s="335" t="n">
        <f t="shared" si="37"/>
        <v>1.0</v>
      </c>
      <c r="G122" s="336" t="n">
        <f t="shared" si="37"/>
        <v>1.0</v>
      </c>
      <c r="H122" s="336" t="n">
        <f t="shared" si="37"/>
        <v>1.0</v>
      </c>
      <c r="I122" s="337" t="n">
        <f t="shared" si="37"/>
        <v>1.0</v>
      </c>
      <c r="J122" s="720" t="n">
        <f t="shared" si="37"/>
        <v>1.0</v>
      </c>
      <c r="K122" s="954" t="n">
        <f t="shared" ref="K122:M122" si="46">IF(K$107&gt;0,K133/K$107,0)</f>
        <v>1.0</v>
      </c>
      <c r="L122" s="954" t="n">
        <f t="shared" si="46"/>
        <v>1.0</v>
      </c>
      <c r="M122" s="955" t="n">
        <f t="shared" si="46"/>
        <v>1.0</v>
      </c>
    </row>
    <row r="123" spans="1:13">
      <c r="A123" s="129"/>
      <c r="B123" s="146" t="s">
        <v>172</v>
      </c>
      <c r="C123" s="132"/>
      <c r="D123" s="133"/>
      <c r="E123" s="145"/>
      <c r="F123" s="338"/>
      <c r="G123" s="339"/>
      <c r="H123" s="339"/>
      <c r="I123" s="340"/>
      <c r="J123" s="721"/>
      <c r="K123" s="956"/>
      <c r="L123" s="956"/>
      <c r="M123" s="957"/>
    </row>
    <row r="124" spans="1:13">
      <c r="A124" s="129"/>
      <c r="B124" s="341"/>
      <c r="C124" s="141" t="s">
        <v>170</v>
      </c>
      <c r="D124" s="142"/>
      <c r="E124" s="147"/>
      <c r="F124" s="693" t="n">
        <f>SUM(G124:I124)</f>
        <v>2676.0</v>
      </c>
      <c r="G124" s="324" t="n">
        <v>897.0</v>
      </c>
      <c r="H124" s="324" t="n">
        <v>893.0</v>
      </c>
      <c r="I124" s="325" t="n">
        <v>886.0</v>
      </c>
      <c r="J124" s="714" t="n">
        <v>872.0</v>
      </c>
      <c r="K124" s="432" t="n">
        <v>821.0</v>
      </c>
      <c r="L124" s="432" t="n">
        <v>771.0</v>
      </c>
      <c r="M124" s="949" t="n">
        <v>725.0</v>
      </c>
    </row>
    <row r="125" spans="1:13">
      <c r="A125" s="129"/>
      <c r="B125" s="341"/>
      <c r="C125" s="141" t="s">
        <v>171</v>
      </c>
      <c r="D125" s="142"/>
      <c r="E125" s="147"/>
      <c r="F125" s="693" t="n">
        <f t="shared" ref="F125:F132" si="47">SUM(G125:I125)</f>
        <v>3009.0</v>
      </c>
      <c r="G125" s="324" t="n">
        <v>1009.0</v>
      </c>
      <c r="H125" s="324" t="n">
        <v>1004.0</v>
      </c>
      <c r="I125" s="325" t="n">
        <v>996.0</v>
      </c>
      <c r="J125" s="714" t="n">
        <v>980.0</v>
      </c>
      <c r="K125" s="432" t="n">
        <v>922.0</v>
      </c>
      <c r="L125" s="432" t="n">
        <v>866.0</v>
      </c>
      <c r="M125" s="949" t="n">
        <v>814.0</v>
      </c>
    </row>
    <row r="126" spans="1:13">
      <c r="A126" s="129"/>
      <c r="B126" s="341"/>
      <c r="C126" s="141" t="s">
        <v>126</v>
      </c>
      <c r="D126" s="142"/>
      <c r="E126" s="147"/>
      <c r="F126" s="693" t="n">
        <f t="shared" si="47"/>
        <v>2571.0</v>
      </c>
      <c r="G126" s="324" t="n">
        <v>862.0</v>
      </c>
      <c r="H126" s="324" t="n">
        <v>858.0</v>
      </c>
      <c r="I126" s="325" t="n">
        <v>851.0</v>
      </c>
      <c r="J126" s="714" t="n">
        <v>838.0</v>
      </c>
      <c r="K126" s="432" t="n">
        <v>788.0</v>
      </c>
      <c r="L126" s="432" t="n">
        <v>741.0</v>
      </c>
      <c r="M126" s="949" t="n">
        <v>696.0</v>
      </c>
    </row>
    <row r="127" spans="1:13">
      <c r="A127" s="129"/>
      <c r="B127" s="341"/>
      <c r="C127" s="141" t="s">
        <v>127</v>
      </c>
      <c r="D127" s="142"/>
      <c r="E127" s="147"/>
      <c r="F127" s="693" t="n">
        <f t="shared" si="47"/>
        <v>1538.0</v>
      </c>
      <c r="G127" s="324" t="n">
        <v>516.0</v>
      </c>
      <c r="H127" s="324" t="n">
        <v>513.0</v>
      </c>
      <c r="I127" s="325" t="n">
        <v>509.0</v>
      </c>
      <c r="J127" s="714" t="n">
        <v>501.0</v>
      </c>
      <c r="K127" s="432" t="n">
        <v>471.0</v>
      </c>
      <c r="L127" s="432" t="n">
        <v>443.0</v>
      </c>
      <c r="M127" s="949" t="n">
        <v>416.0</v>
      </c>
    </row>
    <row r="128" spans="1:13">
      <c r="A128" s="129"/>
      <c r="B128" s="341"/>
      <c r="C128" s="141" t="s">
        <v>128</v>
      </c>
      <c r="D128" s="142"/>
      <c r="E128" s="147"/>
      <c r="F128" s="693" t="n">
        <f t="shared" si="47"/>
        <v>3884.0</v>
      </c>
      <c r="G128" s="324" t="n">
        <v>1302.0</v>
      </c>
      <c r="H128" s="324" t="n">
        <v>1296.0</v>
      </c>
      <c r="I128" s="325" t="n">
        <v>1286.0</v>
      </c>
      <c r="J128" s="714" t="n">
        <v>1265.0</v>
      </c>
      <c r="K128" s="432" t="n">
        <v>1190.0</v>
      </c>
      <c r="L128" s="432" t="n">
        <v>1118.0</v>
      </c>
      <c r="M128" s="949" t="n">
        <v>1051.0</v>
      </c>
    </row>
    <row r="129" spans="1:13">
      <c r="A129" s="129"/>
      <c r="B129" s="341"/>
      <c r="C129" s="141" t="s">
        <v>245</v>
      </c>
      <c r="D129" s="142"/>
      <c r="E129" s="147"/>
      <c r="F129" s="693" t="n">
        <f t="shared" si="47"/>
        <v>3409.0</v>
      </c>
      <c r="G129" s="324" t="n">
        <v>1143.0</v>
      </c>
      <c r="H129" s="324" t="n">
        <v>1137.0</v>
      </c>
      <c r="I129" s="325" t="n">
        <v>1129.0</v>
      </c>
      <c r="J129" s="714" t="n">
        <v>1111.0</v>
      </c>
      <c r="K129" s="432" t="n">
        <v>1044.0</v>
      </c>
      <c r="L129" s="432" t="n">
        <v>982.0</v>
      </c>
      <c r="M129" s="949" t="n">
        <v>923.0</v>
      </c>
    </row>
    <row r="130" spans="1:13">
      <c r="A130" s="129"/>
      <c r="B130" s="341"/>
      <c r="C130" s="141" t="s">
        <v>246</v>
      </c>
      <c r="D130" s="142"/>
      <c r="E130" s="147"/>
      <c r="F130" s="693" t="n">
        <f t="shared" si="47"/>
        <v>2078.0</v>
      </c>
      <c r="G130" s="324" t="n">
        <v>697.0</v>
      </c>
      <c r="H130" s="324" t="n">
        <v>693.0</v>
      </c>
      <c r="I130" s="325" t="n">
        <v>688.0</v>
      </c>
      <c r="J130" s="714" t="n">
        <v>677.0</v>
      </c>
      <c r="K130" s="432" t="n">
        <v>636.0</v>
      </c>
      <c r="L130" s="432" t="n">
        <v>598.0</v>
      </c>
      <c r="M130" s="949" t="n">
        <v>562.0</v>
      </c>
    </row>
    <row r="131" spans="1:13">
      <c r="A131" s="129"/>
      <c r="B131" s="341"/>
      <c r="C131" s="141" t="s">
        <v>247</v>
      </c>
      <c r="D131" s="142"/>
      <c r="E131" s="147"/>
      <c r="F131" s="693" t="n">
        <f t="shared" si="47"/>
        <v>703.0</v>
      </c>
      <c r="G131" s="324" t="n">
        <v>236.0</v>
      </c>
      <c r="H131" s="324" t="n">
        <v>234.0</v>
      </c>
      <c r="I131" s="325" t="n">
        <v>233.0</v>
      </c>
      <c r="J131" s="714" t="n">
        <v>229.0</v>
      </c>
      <c r="K131" s="432" t="n">
        <v>215.0</v>
      </c>
      <c r="L131" s="432" t="n">
        <v>202.0</v>
      </c>
      <c r="M131" s="949" t="n">
        <v>190.0</v>
      </c>
    </row>
    <row r="132" spans="1:13">
      <c r="A132" s="129"/>
      <c r="B132" s="341"/>
      <c r="C132" s="141" t="s">
        <v>248</v>
      </c>
      <c r="D132" s="142"/>
      <c r="E132" s="147"/>
      <c r="F132" s="693" t="n">
        <f t="shared" si="47"/>
        <v>560.0</v>
      </c>
      <c r="G132" s="324" t="n">
        <v>188.0</v>
      </c>
      <c r="H132" s="324" t="n">
        <v>187.0</v>
      </c>
      <c r="I132" s="325" t="n">
        <v>185.0</v>
      </c>
      <c r="J132" s="714" t="n">
        <v>182.0</v>
      </c>
      <c r="K132" s="432" t="n">
        <v>171.0</v>
      </c>
      <c r="L132" s="432" t="n">
        <v>161.0</v>
      </c>
      <c r="M132" s="949" t="n">
        <v>151.0</v>
      </c>
    </row>
    <row r="133" spans="1:13">
      <c r="A133" s="129"/>
      <c r="B133" s="341"/>
      <c r="C133" s="342" t="s">
        <v>37</v>
      </c>
      <c r="D133" s="131"/>
      <c r="E133" s="343"/>
      <c r="F133" s="344" t="n">
        <f t="shared" ref="F133:M133" si="48">SUM(F124:F132)</f>
        <v>20428.0</v>
      </c>
      <c r="G133" s="345" t="n">
        <f t="shared" si="48"/>
        <v>6850.0</v>
      </c>
      <c r="H133" s="345" t="n">
        <f t="shared" si="48"/>
        <v>6815.0</v>
      </c>
      <c r="I133" s="346" t="n">
        <f t="shared" si="48"/>
        <v>6763.0</v>
      </c>
      <c r="J133" s="722" t="n">
        <f t="shared" si="48"/>
        <v>6655.0</v>
      </c>
      <c r="K133" s="958" t="n">
        <f t="shared" si="48"/>
        <v>6258.0</v>
      </c>
      <c r="L133" s="958" t="n">
        <f t="shared" si="48"/>
        <v>5882.0</v>
      </c>
      <c r="M133" s="959" t="n">
        <f t="shared" si="48"/>
        <v>5528.0</v>
      </c>
    </row>
    <row r="134" spans="1:13">
      <c r="A134" s="129"/>
      <c r="B134" s="1100" t="s">
        <v>173</v>
      </c>
      <c r="C134" s="1101"/>
      <c r="D134" s="1101"/>
      <c r="E134" s="1114"/>
      <c r="F134" s="332"/>
      <c r="G134" s="333"/>
      <c r="H134" s="333"/>
      <c r="I134" s="334"/>
      <c r="J134" s="719"/>
      <c r="K134" s="952"/>
      <c r="L134" s="952"/>
      <c r="M134" s="953"/>
    </row>
    <row r="135" spans="1:13">
      <c r="A135" s="129"/>
      <c r="B135" s="146"/>
      <c r="C135" s="133" t="s">
        <v>170</v>
      </c>
      <c r="D135" s="133"/>
      <c r="E135" s="145"/>
      <c r="F135" s="335" t="str">
        <f t="shared" ref="F135:J135" si="49">IF(AND(F$107&gt;0,F162&lt;&gt;""),F162/F$107,"")</f>
        <v/>
      </c>
      <c r="G135" s="336" t="str">
        <f t="shared" si="49"/>
        <v/>
      </c>
      <c r="H135" s="336" t="str">
        <f t="shared" si="49"/>
        <v/>
      </c>
      <c r="I135" s="337" t="str">
        <f t="shared" si="49"/>
        <v/>
      </c>
      <c r="J135" s="720" t="str">
        <f t="shared" si="49"/>
        <v/>
      </c>
      <c r="K135" s="954" t="str">
        <f t="shared" ref="K135:M135" si="50">IF(AND(K$107&gt;0,K162&lt;&gt;""),K162/K$107,"")</f>
        <v/>
      </c>
      <c r="L135" s="954" t="str">
        <f t="shared" si="50"/>
        <v/>
      </c>
      <c r="M135" s="955" t="str">
        <f t="shared" si="50"/>
        <v/>
      </c>
    </row>
    <row r="136" spans="1:13">
      <c r="A136" s="129"/>
      <c r="B136" s="341"/>
      <c r="C136" s="133" t="s">
        <v>171</v>
      </c>
      <c r="D136" s="133"/>
      <c r="E136" s="145"/>
      <c r="F136" s="335" t="str">
        <f t="shared" ref="F136:J136" si="51">IF(AND(F$107&gt;0,F163&lt;&gt;""),F163/F$107,"")</f>
        <v/>
      </c>
      <c r="G136" s="336" t="str">
        <f t="shared" si="51"/>
        <v/>
      </c>
      <c r="H136" s="336" t="str">
        <f t="shared" si="51"/>
        <v/>
      </c>
      <c r="I136" s="337" t="str">
        <f t="shared" si="51"/>
        <v/>
      </c>
      <c r="J136" s="720" t="str">
        <f t="shared" si="51"/>
        <v/>
      </c>
      <c r="K136" s="954" t="str">
        <f t="shared" ref="K136:M136" si="52">IF(AND(K$107&gt;0,K163&lt;&gt;""),K163/K$107,"")</f>
        <v/>
      </c>
      <c r="L136" s="954" t="str">
        <f t="shared" si="52"/>
        <v/>
      </c>
      <c r="M136" s="955" t="str">
        <f t="shared" si="52"/>
        <v/>
      </c>
    </row>
    <row r="137" spans="1:13">
      <c r="A137" s="129"/>
      <c r="B137" s="341"/>
      <c r="C137" s="133" t="s">
        <v>126</v>
      </c>
      <c r="D137" s="133"/>
      <c r="E137" s="145"/>
      <c r="F137" s="335" t="str">
        <f t="shared" ref="F137:J137" si="53">IF(AND(F$107&gt;0,F164&lt;&gt;""),F164/F$107,"")</f>
        <v/>
      </c>
      <c r="G137" s="336" t="str">
        <f t="shared" si="53"/>
        <v/>
      </c>
      <c r="H137" s="336" t="str">
        <f t="shared" si="53"/>
        <v/>
      </c>
      <c r="I137" s="337" t="str">
        <f t="shared" si="53"/>
        <v/>
      </c>
      <c r="J137" s="720" t="str">
        <f t="shared" si="53"/>
        <v/>
      </c>
      <c r="K137" s="954" t="str">
        <f t="shared" ref="K137:M137" si="54">IF(AND(K$107&gt;0,K164&lt;&gt;""),K164/K$107,"")</f>
        <v/>
      </c>
      <c r="L137" s="954" t="str">
        <f t="shared" si="54"/>
        <v/>
      </c>
      <c r="M137" s="955" t="str">
        <f t="shared" si="54"/>
        <v/>
      </c>
    </row>
    <row r="138" spans="1:13">
      <c r="A138" s="129"/>
      <c r="B138" s="341"/>
      <c r="C138" s="133" t="s">
        <v>127</v>
      </c>
      <c r="D138" s="133"/>
      <c r="E138" s="145"/>
      <c r="F138" s="335" t="str">
        <f t="shared" ref="F138:J138" si="55">IF(AND(F$107&gt;0,F165&lt;&gt;""),F165/F$107,"")</f>
        <v/>
      </c>
      <c r="G138" s="336" t="str">
        <f t="shared" si="55"/>
        <v/>
      </c>
      <c r="H138" s="336" t="str">
        <f t="shared" si="55"/>
        <v/>
      </c>
      <c r="I138" s="337" t="str">
        <f t="shared" si="55"/>
        <v/>
      </c>
      <c r="J138" s="720" t="str">
        <f t="shared" si="55"/>
        <v/>
      </c>
      <c r="K138" s="954" t="str">
        <f t="shared" ref="K138:M138" si="56">IF(AND(K$107&gt;0,K165&lt;&gt;""),K165/K$107,"")</f>
        <v/>
      </c>
      <c r="L138" s="954" t="str">
        <f t="shared" si="56"/>
        <v/>
      </c>
      <c r="M138" s="955" t="str">
        <f t="shared" si="56"/>
        <v/>
      </c>
    </row>
    <row r="139" spans="1:13">
      <c r="A139" s="129"/>
      <c r="B139" s="341"/>
      <c r="C139" s="133" t="s">
        <v>128</v>
      </c>
      <c r="D139" s="133"/>
      <c r="E139" s="145"/>
      <c r="F139" s="335" t="str">
        <f t="shared" ref="F139:J139" si="57">IF(AND(F$107&gt;0,F166&lt;&gt;""),F166/F$107,"")</f>
        <v/>
      </c>
      <c r="G139" s="336" t="str">
        <f t="shared" si="57"/>
        <v/>
      </c>
      <c r="H139" s="336" t="str">
        <f t="shared" si="57"/>
        <v/>
      </c>
      <c r="I139" s="337" t="str">
        <f t="shared" si="57"/>
        <v/>
      </c>
      <c r="J139" s="720" t="str">
        <f t="shared" si="57"/>
        <v/>
      </c>
      <c r="K139" s="954" t="str">
        <f t="shared" ref="K139:M139" si="58">IF(AND(K$107&gt;0,K166&lt;&gt;""),K166/K$107,"")</f>
        <v/>
      </c>
      <c r="L139" s="954" t="str">
        <f t="shared" si="58"/>
        <v/>
      </c>
      <c r="M139" s="955" t="str">
        <f t="shared" si="58"/>
        <v/>
      </c>
    </row>
    <row r="140" spans="1:13">
      <c r="A140" s="129"/>
      <c r="B140" s="341"/>
      <c r="C140" s="133" t="s">
        <v>238</v>
      </c>
      <c r="D140" s="133"/>
      <c r="E140" s="145"/>
      <c r="F140" s="335" t="str">
        <f t="shared" ref="F140:J140" si="59">IF(AND(F$107&gt;0,F167&lt;&gt;""),F167/F$107,"")</f>
        <v/>
      </c>
      <c r="G140" s="336" t="str">
        <f t="shared" si="59"/>
        <v/>
      </c>
      <c r="H140" s="336" t="str">
        <f t="shared" si="59"/>
        <v/>
      </c>
      <c r="I140" s="337" t="str">
        <f t="shared" si="59"/>
        <v/>
      </c>
      <c r="J140" s="720" t="str">
        <f t="shared" si="59"/>
        <v/>
      </c>
      <c r="K140" s="954" t="str">
        <f t="shared" ref="K140:M140" si="60">IF(AND(K$107&gt;0,K167&lt;&gt;""),K167/K$107,"")</f>
        <v/>
      </c>
      <c r="L140" s="954" t="str">
        <f t="shared" si="60"/>
        <v/>
      </c>
      <c r="M140" s="955" t="str">
        <f t="shared" si="60"/>
        <v/>
      </c>
    </row>
    <row r="141" spans="1:13">
      <c r="A141" s="129"/>
      <c r="B141" s="341"/>
      <c r="C141" s="133" t="s">
        <v>239</v>
      </c>
      <c r="D141" s="133"/>
      <c r="E141" s="145"/>
      <c r="F141" s="335" t="str">
        <f t="shared" ref="F141:J141" si="61">IF(AND(F$107&gt;0,F168&lt;&gt;""),F168/F$107,"")</f>
        <v/>
      </c>
      <c r="G141" s="336" t="str">
        <f t="shared" si="61"/>
        <v/>
      </c>
      <c r="H141" s="336" t="str">
        <f t="shared" si="61"/>
        <v/>
      </c>
      <c r="I141" s="337" t="str">
        <f t="shared" si="61"/>
        <v/>
      </c>
      <c r="J141" s="720" t="str">
        <f t="shared" si="61"/>
        <v/>
      </c>
      <c r="K141" s="954" t="str">
        <f t="shared" ref="K141:M141" si="62">IF(AND(K$107&gt;0,K168&lt;&gt;""),K168/K$107,"")</f>
        <v/>
      </c>
      <c r="L141" s="954" t="str">
        <f t="shared" si="62"/>
        <v/>
      </c>
      <c r="M141" s="955" t="str">
        <f t="shared" si="62"/>
        <v/>
      </c>
    </row>
    <row r="142" spans="1:13">
      <c r="A142" s="129"/>
      <c r="B142" s="341"/>
      <c r="C142" s="133" t="s">
        <v>240</v>
      </c>
      <c r="D142" s="133"/>
      <c r="E142" s="145"/>
      <c r="F142" s="335" t="str">
        <f t="shared" ref="F142:J142" si="63">IF(AND(F$107&gt;0,F169&lt;&gt;""),F169/F$107,"")</f>
        <v/>
      </c>
      <c r="G142" s="336" t="str">
        <f t="shared" si="63"/>
        <v/>
      </c>
      <c r="H142" s="336" t="str">
        <f t="shared" si="63"/>
        <v/>
      </c>
      <c r="I142" s="337" t="str">
        <f t="shared" si="63"/>
        <v/>
      </c>
      <c r="J142" s="720" t="str">
        <f t="shared" si="63"/>
        <v/>
      </c>
      <c r="K142" s="954" t="str">
        <f t="shared" ref="K142:M142" si="64">IF(AND(K$107&gt;0,K169&lt;&gt;""),K169/K$107,"")</f>
        <v/>
      </c>
      <c r="L142" s="954" t="str">
        <f t="shared" si="64"/>
        <v/>
      </c>
      <c r="M142" s="955" t="str">
        <f t="shared" si="64"/>
        <v/>
      </c>
    </row>
    <row r="143" spans="1:13">
      <c r="A143" s="129"/>
      <c r="B143" s="341"/>
      <c r="C143" s="133" t="s">
        <v>241</v>
      </c>
      <c r="D143" s="133"/>
      <c r="E143" s="145"/>
      <c r="F143" s="335" t="str">
        <f t="shared" ref="F143:J143" si="65">IF(AND(F$107&gt;0,F170&lt;&gt;""),F170/F$107,"")</f>
        <v/>
      </c>
      <c r="G143" s="336" t="str">
        <f t="shared" si="65"/>
        <v/>
      </c>
      <c r="H143" s="336" t="str">
        <f t="shared" si="65"/>
        <v/>
      </c>
      <c r="I143" s="337" t="str">
        <f t="shared" si="65"/>
        <v/>
      </c>
      <c r="J143" s="720" t="str">
        <f t="shared" si="65"/>
        <v/>
      </c>
      <c r="K143" s="954" t="str">
        <f t="shared" ref="K143:M143" si="66">IF(AND(K$107&gt;0,K170&lt;&gt;""),K170/K$107,"")</f>
        <v/>
      </c>
      <c r="L143" s="954" t="str">
        <f t="shared" si="66"/>
        <v/>
      </c>
      <c r="M143" s="955" t="str">
        <f t="shared" si="66"/>
        <v/>
      </c>
    </row>
    <row r="144" spans="1:13">
      <c r="A144" s="129"/>
      <c r="B144" s="341"/>
      <c r="C144" s="133" t="s">
        <v>174</v>
      </c>
      <c r="D144" s="133"/>
      <c r="E144" s="145"/>
      <c r="F144" s="335" t="str">
        <f t="shared" ref="F144:J144" si="67">IF(AND(F$107&gt;0,F171&lt;&gt;""),F171/F$107,"")</f>
        <v/>
      </c>
      <c r="G144" s="336" t="str">
        <f t="shared" si="67"/>
        <v/>
      </c>
      <c r="H144" s="336" t="str">
        <f t="shared" si="67"/>
        <v/>
      </c>
      <c r="I144" s="337" t="str">
        <f t="shared" si="67"/>
        <v/>
      </c>
      <c r="J144" s="720" t="str">
        <f t="shared" si="67"/>
        <v/>
      </c>
      <c r="K144" s="954" t="str">
        <f t="shared" ref="K144:M144" si="68">IF(AND(K$107&gt;0,K171&lt;&gt;""),K171/K$107,"")</f>
        <v/>
      </c>
      <c r="L144" s="954" t="str">
        <f t="shared" si="68"/>
        <v/>
      </c>
      <c r="M144" s="955" t="str">
        <f t="shared" si="68"/>
        <v/>
      </c>
    </row>
    <row r="145" spans="1:13">
      <c r="A145" s="129"/>
      <c r="B145" s="341"/>
      <c r="C145" s="133" t="s">
        <v>175</v>
      </c>
      <c r="D145" s="133"/>
      <c r="E145" s="145"/>
      <c r="F145" s="335" t="str">
        <f t="shared" ref="F145:J145" si="69">IF(AND(F$107&gt;0,F172&lt;&gt;""),F172/F$107,"")</f>
        <v/>
      </c>
      <c r="G145" s="336" t="str">
        <f t="shared" si="69"/>
        <v/>
      </c>
      <c r="H145" s="336" t="str">
        <f t="shared" si="69"/>
        <v/>
      </c>
      <c r="I145" s="337" t="str">
        <f t="shared" si="69"/>
        <v/>
      </c>
      <c r="J145" s="720" t="str">
        <f t="shared" si="69"/>
        <v/>
      </c>
      <c r="K145" s="954" t="str">
        <f t="shared" ref="K145:M145" si="70">IF(AND(K$107&gt;0,K172&lt;&gt;""),K172/K$107,"")</f>
        <v/>
      </c>
      <c r="L145" s="954" t="str">
        <f t="shared" si="70"/>
        <v/>
      </c>
      <c r="M145" s="955" t="str">
        <f t="shared" si="70"/>
        <v/>
      </c>
    </row>
    <row r="146" spans="1:13">
      <c r="A146" s="129"/>
      <c r="B146" s="341"/>
      <c r="C146" s="133" t="s">
        <v>176</v>
      </c>
      <c r="D146" s="133"/>
      <c r="E146" s="145"/>
      <c r="F146" s="335" t="str">
        <f t="shared" ref="F146:J146" si="71">IF(AND(F$107&gt;0,F173&lt;&gt;""),F173/F$107,"")</f>
        <v/>
      </c>
      <c r="G146" s="336" t="str">
        <f t="shared" si="71"/>
        <v/>
      </c>
      <c r="H146" s="336" t="str">
        <f t="shared" si="71"/>
        <v/>
      </c>
      <c r="I146" s="337" t="str">
        <f t="shared" si="71"/>
        <v/>
      </c>
      <c r="J146" s="720" t="str">
        <f t="shared" si="71"/>
        <v/>
      </c>
      <c r="K146" s="954" t="str">
        <f t="shared" ref="K146:M146" si="72">IF(AND(K$107&gt;0,K173&lt;&gt;""),K173/K$107,"")</f>
        <v/>
      </c>
      <c r="L146" s="954" t="str">
        <f t="shared" si="72"/>
        <v/>
      </c>
      <c r="M146" s="955" t="str">
        <f t="shared" si="72"/>
        <v/>
      </c>
    </row>
    <row r="147" spans="1:13">
      <c r="A147" s="129"/>
      <c r="B147" s="341"/>
      <c r="C147" s="133" t="s">
        <v>177</v>
      </c>
      <c r="D147" s="133"/>
      <c r="E147" s="145"/>
      <c r="F147" s="335" t="str">
        <f t="shared" ref="F147:J147" si="73">IF(AND(F$107&gt;0,F174&lt;&gt;""),F174/F$107,"")</f>
        <v/>
      </c>
      <c r="G147" s="336" t="str">
        <f t="shared" si="73"/>
        <v/>
      </c>
      <c r="H147" s="336" t="str">
        <f t="shared" si="73"/>
        <v/>
      </c>
      <c r="I147" s="337" t="str">
        <f t="shared" si="73"/>
        <v/>
      </c>
      <c r="J147" s="720" t="str">
        <f t="shared" si="73"/>
        <v/>
      </c>
      <c r="K147" s="954" t="str">
        <f t="shared" ref="K147:M147" si="74">IF(AND(K$107&gt;0,K174&lt;&gt;""),K174/K$107,"")</f>
        <v/>
      </c>
      <c r="L147" s="954" t="str">
        <f t="shared" si="74"/>
        <v/>
      </c>
      <c r="M147" s="955" t="str">
        <f t="shared" si="74"/>
        <v/>
      </c>
    </row>
    <row r="148" spans="1:13">
      <c r="A148" s="129"/>
      <c r="B148" s="341"/>
      <c r="C148" s="133" t="s">
        <v>178</v>
      </c>
      <c r="D148" s="133"/>
      <c r="E148" s="145"/>
      <c r="F148" s="335" t="str">
        <f t="shared" ref="F148:J148" si="75">IF(AND(F$107&gt;0,F175&lt;&gt;""),F175/F$107,"")</f>
        <v/>
      </c>
      <c r="G148" s="336" t="str">
        <f t="shared" si="75"/>
        <v/>
      </c>
      <c r="H148" s="336" t="str">
        <f t="shared" si="75"/>
        <v/>
      </c>
      <c r="I148" s="337" t="str">
        <f t="shared" si="75"/>
        <v/>
      </c>
      <c r="J148" s="720" t="str">
        <f t="shared" si="75"/>
        <v/>
      </c>
      <c r="K148" s="954" t="str">
        <f t="shared" ref="K148:M148" si="76">IF(AND(K$107&gt;0,K175&lt;&gt;""),K175/K$107,"")</f>
        <v/>
      </c>
      <c r="L148" s="954" t="str">
        <f t="shared" si="76"/>
        <v/>
      </c>
      <c r="M148" s="955" t="str">
        <f t="shared" si="76"/>
        <v/>
      </c>
    </row>
    <row r="149" spans="1:13">
      <c r="A149" s="129"/>
      <c r="B149" s="341"/>
      <c r="C149" s="133" t="s">
        <v>179</v>
      </c>
      <c r="D149" s="133"/>
      <c r="E149" s="145"/>
      <c r="F149" s="335" t="str">
        <f t="shared" ref="F149:J149" si="77">IF(AND(F$107&gt;0,F176&lt;&gt;""),F176/F$107,"")</f>
        <v/>
      </c>
      <c r="G149" s="336" t="str">
        <f t="shared" si="77"/>
        <v/>
      </c>
      <c r="H149" s="336" t="str">
        <f t="shared" si="77"/>
        <v/>
      </c>
      <c r="I149" s="337" t="str">
        <f t="shared" si="77"/>
        <v/>
      </c>
      <c r="J149" s="720" t="str">
        <f t="shared" si="77"/>
        <v/>
      </c>
      <c r="K149" s="954" t="str">
        <f t="shared" ref="K149:M149" si="78">IF(AND(K$107&gt;0,K176&lt;&gt;""),K176/K$107,"")</f>
        <v/>
      </c>
      <c r="L149" s="954" t="str">
        <f t="shared" si="78"/>
        <v/>
      </c>
      <c r="M149" s="955" t="str">
        <f t="shared" si="78"/>
        <v/>
      </c>
    </row>
    <row r="150" spans="1:13">
      <c r="A150" s="129"/>
      <c r="B150" s="341"/>
      <c r="C150" s="133" t="s">
        <v>180</v>
      </c>
      <c r="D150" s="133"/>
      <c r="E150" s="145"/>
      <c r="F150" s="335" t="str">
        <f t="shared" ref="F150:J150" si="79">IF(AND(F$107&gt;0,F177&lt;&gt;""),F177/F$107,"")</f>
        <v/>
      </c>
      <c r="G150" s="336" t="str">
        <f t="shared" si="79"/>
        <v/>
      </c>
      <c r="H150" s="336" t="str">
        <f t="shared" si="79"/>
        <v/>
      </c>
      <c r="I150" s="337" t="str">
        <f t="shared" si="79"/>
        <v/>
      </c>
      <c r="J150" s="720" t="str">
        <f t="shared" si="79"/>
        <v/>
      </c>
      <c r="K150" s="954" t="str">
        <f t="shared" ref="K150:M150" si="80">IF(AND(K$107&gt;0,K177&lt;&gt;""),K177/K$107,"")</f>
        <v/>
      </c>
      <c r="L150" s="954" t="str">
        <f t="shared" si="80"/>
        <v/>
      </c>
      <c r="M150" s="955" t="str">
        <f t="shared" si="80"/>
        <v/>
      </c>
    </row>
    <row r="151" spans="1:13">
      <c r="A151" s="129"/>
      <c r="B151" s="341"/>
      <c r="C151" s="133" t="s">
        <v>181</v>
      </c>
      <c r="D151" s="133"/>
      <c r="E151" s="145"/>
      <c r="F151" s="335" t="str">
        <f t="shared" ref="F151:J151" si="81">IF(AND(F$107&gt;0,F178&lt;&gt;""),F178/F$107,"")</f>
        <v/>
      </c>
      <c r="G151" s="336" t="str">
        <f t="shared" si="81"/>
        <v/>
      </c>
      <c r="H151" s="336" t="str">
        <f t="shared" si="81"/>
        <v/>
      </c>
      <c r="I151" s="337" t="str">
        <f t="shared" si="81"/>
        <v/>
      </c>
      <c r="J151" s="720" t="str">
        <f t="shared" si="81"/>
        <v/>
      </c>
      <c r="K151" s="954" t="str">
        <f t="shared" ref="K151:M151" si="82">IF(AND(K$107&gt;0,K178&lt;&gt;""),K178/K$107,"")</f>
        <v/>
      </c>
      <c r="L151" s="954" t="str">
        <f t="shared" si="82"/>
        <v/>
      </c>
      <c r="M151" s="955" t="str">
        <f t="shared" si="82"/>
        <v/>
      </c>
    </row>
    <row r="152" spans="1:13">
      <c r="A152" s="129"/>
      <c r="B152" s="341"/>
      <c r="C152" s="133" t="s">
        <v>182</v>
      </c>
      <c r="D152" s="133"/>
      <c r="E152" s="145"/>
      <c r="F152" s="335" t="str">
        <f t="shared" ref="F152:J152" si="83">IF(AND(F$107&gt;0,F179&lt;&gt;""),F179/F$107,"")</f>
        <v/>
      </c>
      <c r="G152" s="336" t="str">
        <f t="shared" si="83"/>
        <v/>
      </c>
      <c r="H152" s="336" t="str">
        <f t="shared" si="83"/>
        <v/>
      </c>
      <c r="I152" s="337" t="str">
        <f t="shared" si="83"/>
        <v/>
      </c>
      <c r="J152" s="720" t="str">
        <f t="shared" si="83"/>
        <v/>
      </c>
      <c r="K152" s="954" t="str">
        <f t="shared" ref="K152:M152" si="84">IF(AND(K$107&gt;0,K179&lt;&gt;""),K179/K$107,"")</f>
        <v/>
      </c>
      <c r="L152" s="954" t="str">
        <f t="shared" si="84"/>
        <v/>
      </c>
      <c r="M152" s="955" t="str">
        <f t="shared" si="84"/>
        <v/>
      </c>
    </row>
    <row r="153" spans="1:13">
      <c r="A153" s="129"/>
      <c r="B153" s="341"/>
      <c r="C153" s="133" t="s">
        <v>183</v>
      </c>
      <c r="D153" s="133"/>
      <c r="E153" s="145"/>
      <c r="F153" s="335" t="str">
        <f t="shared" ref="F153:J153" si="85">IF(AND(F$107&gt;0,F180&lt;&gt;""),F180/F$107,"")</f>
        <v/>
      </c>
      <c r="G153" s="336" t="str">
        <f t="shared" si="85"/>
        <v/>
      </c>
      <c r="H153" s="336" t="str">
        <f t="shared" si="85"/>
        <v/>
      </c>
      <c r="I153" s="337" t="str">
        <f t="shared" si="85"/>
        <v/>
      </c>
      <c r="J153" s="720" t="str">
        <f t="shared" si="85"/>
        <v/>
      </c>
      <c r="K153" s="954" t="str">
        <f t="shared" ref="K153:M153" si="86">IF(AND(K$107&gt;0,K180&lt;&gt;""),K180/K$107,"")</f>
        <v/>
      </c>
      <c r="L153" s="954" t="str">
        <f t="shared" si="86"/>
        <v/>
      </c>
      <c r="M153" s="955" t="str">
        <f t="shared" si="86"/>
        <v/>
      </c>
    </row>
    <row r="154" spans="1:13">
      <c r="A154" s="129"/>
      <c r="B154" s="341"/>
      <c r="C154" s="133" t="s">
        <v>184</v>
      </c>
      <c r="D154" s="133"/>
      <c r="E154" s="145"/>
      <c r="F154" s="335" t="str">
        <f t="shared" ref="F154:J154" si="87">IF(AND(F$107&gt;0,F181&lt;&gt;""),F181/F$107,"")</f>
        <v/>
      </c>
      <c r="G154" s="336" t="str">
        <f t="shared" si="87"/>
        <v/>
      </c>
      <c r="H154" s="336" t="str">
        <f t="shared" si="87"/>
        <v/>
      </c>
      <c r="I154" s="337" t="str">
        <f t="shared" si="87"/>
        <v/>
      </c>
      <c r="J154" s="720" t="str">
        <f t="shared" si="87"/>
        <v/>
      </c>
      <c r="K154" s="954" t="str">
        <f t="shared" ref="K154:M154" si="88">IF(AND(K$107&gt;0,K181&lt;&gt;""),K181/K$107,"")</f>
        <v/>
      </c>
      <c r="L154" s="954" t="str">
        <f t="shared" si="88"/>
        <v/>
      </c>
      <c r="M154" s="955" t="str">
        <f t="shared" si="88"/>
        <v/>
      </c>
    </row>
    <row r="155" spans="1:13">
      <c r="A155" s="129"/>
      <c r="B155" s="341"/>
      <c r="C155" s="133" t="s">
        <v>185</v>
      </c>
      <c r="D155" s="133"/>
      <c r="E155" s="145"/>
      <c r="F155" s="335" t="str">
        <f t="shared" ref="F155:J155" si="89">IF(AND(F$107&gt;0,F182&lt;&gt;""),F182/F$107,"")</f>
        <v/>
      </c>
      <c r="G155" s="336" t="str">
        <f t="shared" si="89"/>
        <v/>
      </c>
      <c r="H155" s="336" t="str">
        <f t="shared" si="89"/>
        <v/>
      </c>
      <c r="I155" s="337" t="str">
        <f t="shared" si="89"/>
        <v/>
      </c>
      <c r="J155" s="720" t="str">
        <f t="shared" si="89"/>
        <v/>
      </c>
      <c r="K155" s="954" t="str">
        <f t="shared" ref="K155:M155" si="90">IF(AND(K$107&gt;0,K182&lt;&gt;""),K182/K$107,"")</f>
        <v/>
      </c>
      <c r="L155" s="954" t="str">
        <f t="shared" si="90"/>
        <v/>
      </c>
      <c r="M155" s="955" t="str">
        <f t="shared" si="90"/>
        <v/>
      </c>
    </row>
    <row r="156" spans="1:13">
      <c r="A156" s="129"/>
      <c r="B156" s="341"/>
      <c r="C156" s="133" t="s">
        <v>186</v>
      </c>
      <c r="D156" s="133"/>
      <c r="E156" s="145"/>
      <c r="F156" s="335" t="str">
        <f t="shared" ref="F156:J156" si="91">IF(AND(F$107&gt;0,F183&lt;&gt;""),F183/F$107,"")</f>
        <v/>
      </c>
      <c r="G156" s="336" t="str">
        <f t="shared" si="91"/>
        <v/>
      </c>
      <c r="H156" s="336" t="str">
        <f t="shared" si="91"/>
        <v/>
      </c>
      <c r="I156" s="337" t="str">
        <f t="shared" si="91"/>
        <v/>
      </c>
      <c r="J156" s="720" t="str">
        <f t="shared" si="91"/>
        <v/>
      </c>
      <c r="K156" s="954" t="str">
        <f t="shared" ref="K156:M156" si="92">IF(AND(K$107&gt;0,K183&lt;&gt;""),K183/K$107,"")</f>
        <v/>
      </c>
      <c r="L156" s="954" t="str">
        <f t="shared" si="92"/>
        <v/>
      </c>
      <c r="M156" s="955" t="str">
        <f t="shared" si="92"/>
        <v/>
      </c>
    </row>
    <row r="157" spans="1:13">
      <c r="A157" s="129"/>
      <c r="B157" s="341"/>
      <c r="C157" s="133" t="s">
        <v>187</v>
      </c>
      <c r="D157" s="133"/>
      <c r="E157" s="145"/>
      <c r="F157" s="335" t="str">
        <f t="shared" ref="F157:J157" si="93">IF(AND(F$107&gt;0,F184&lt;&gt;""),F184/F$107,"")</f>
        <v/>
      </c>
      <c r="G157" s="336" t="str">
        <f t="shared" si="93"/>
        <v/>
      </c>
      <c r="H157" s="336" t="str">
        <f t="shared" si="93"/>
        <v/>
      </c>
      <c r="I157" s="337" t="str">
        <f t="shared" si="93"/>
        <v/>
      </c>
      <c r="J157" s="720" t="str">
        <f t="shared" si="93"/>
        <v/>
      </c>
      <c r="K157" s="954" t="str">
        <f t="shared" ref="K157:M157" si="94">IF(AND(K$107&gt;0,K184&lt;&gt;""),K184/K$107,"")</f>
        <v/>
      </c>
      <c r="L157" s="954" t="str">
        <f t="shared" si="94"/>
        <v/>
      </c>
      <c r="M157" s="955" t="str">
        <f t="shared" si="94"/>
        <v/>
      </c>
    </row>
    <row r="158" spans="1:13">
      <c r="A158" s="129"/>
      <c r="B158" s="341"/>
      <c r="C158" s="133" t="s">
        <v>188</v>
      </c>
      <c r="D158" s="133"/>
      <c r="E158" s="145"/>
      <c r="F158" s="335" t="str">
        <f t="shared" ref="F158:J158" si="95">IF(AND(F$107&gt;0,F185&lt;&gt;""),F185/F$107,"")</f>
        <v/>
      </c>
      <c r="G158" s="336" t="str">
        <f t="shared" si="95"/>
        <v/>
      </c>
      <c r="H158" s="336" t="str">
        <f t="shared" si="95"/>
        <v/>
      </c>
      <c r="I158" s="337" t="str">
        <f t="shared" si="95"/>
        <v/>
      </c>
      <c r="J158" s="720" t="str">
        <f t="shared" si="95"/>
        <v/>
      </c>
      <c r="K158" s="954" t="str">
        <f t="shared" ref="K158:M158" si="96">IF(AND(K$107&gt;0,K185&lt;&gt;""),K185/K$107,"")</f>
        <v/>
      </c>
      <c r="L158" s="954" t="str">
        <f t="shared" si="96"/>
        <v/>
      </c>
      <c r="M158" s="955" t="str">
        <f t="shared" si="96"/>
        <v/>
      </c>
    </row>
    <row r="159" spans="1:13">
      <c r="A159" s="129"/>
      <c r="B159" s="341"/>
      <c r="C159" s="133" t="s">
        <v>189</v>
      </c>
      <c r="D159" s="133"/>
      <c r="E159" s="145"/>
      <c r="F159" s="335" t="str">
        <f t="shared" ref="F159:J159" si="97">IF(AND(F$107&gt;0,F186&lt;&gt;""),F186/F$107,"")</f>
        <v/>
      </c>
      <c r="G159" s="336" t="str">
        <f t="shared" si="97"/>
        <v/>
      </c>
      <c r="H159" s="336" t="str">
        <f t="shared" si="97"/>
        <v/>
      </c>
      <c r="I159" s="337" t="str">
        <f t="shared" si="97"/>
        <v/>
      </c>
      <c r="J159" s="720" t="str">
        <f t="shared" si="97"/>
        <v/>
      </c>
      <c r="K159" s="954" t="str">
        <f t="shared" ref="K159:M159" si="98">IF(AND(K$107&gt;0,K186&lt;&gt;""),K186/K$107,"")</f>
        <v/>
      </c>
      <c r="L159" s="954" t="str">
        <f t="shared" si="98"/>
        <v/>
      </c>
      <c r="M159" s="955" t="str">
        <f t="shared" si="98"/>
        <v/>
      </c>
    </row>
    <row r="160" spans="1:13">
      <c r="A160" s="129"/>
      <c r="B160" s="347"/>
      <c r="C160" s="133" t="s">
        <v>37</v>
      </c>
      <c r="D160" s="133"/>
      <c r="E160" s="145"/>
      <c r="F160" s="335" t="n">
        <f t="shared" ref="F160:J160" si="99">IF(AND(F$107&gt;0,F187&lt;&gt;""),F187/F$107,"")</f>
        <v>0.0</v>
      </c>
      <c r="G160" s="336" t="n">
        <f>IF(AND(G$107&gt;0,G187&lt;&gt;""),G187/G$107,"")</f>
        <v>0.0</v>
      </c>
      <c r="H160" s="336" t="n">
        <f t="shared" si="99"/>
        <v>0.0</v>
      </c>
      <c r="I160" s="337" t="n">
        <f t="shared" si="99"/>
        <v>0.0</v>
      </c>
      <c r="J160" s="720" t="n">
        <f t="shared" si="99"/>
        <v>0.0</v>
      </c>
      <c r="K160" s="954" t="n">
        <f t="shared" ref="K160:M160" si="100">IF(AND(K$107&gt;0,K187&lt;&gt;""),K187/K$107,"")</f>
        <v>0.0</v>
      </c>
      <c r="L160" s="954" t="n">
        <f t="shared" si="100"/>
        <v>0.0</v>
      </c>
      <c r="M160" s="955" t="n">
        <f t="shared" si="100"/>
        <v>0.0</v>
      </c>
    </row>
    <row r="161" spans="1:13">
      <c r="A161" s="129"/>
      <c r="B161" s="1115" t="s">
        <v>190</v>
      </c>
      <c r="C161" s="1116"/>
      <c r="D161" s="1116"/>
      <c r="E161" s="1117"/>
      <c r="F161" s="332"/>
      <c r="G161" s="333"/>
      <c r="H161" s="333"/>
      <c r="I161" s="334"/>
      <c r="J161" s="719"/>
      <c r="K161" s="952"/>
      <c r="L161" s="952"/>
      <c r="M161" s="953"/>
    </row>
    <row r="162" spans="1:13">
      <c r="A162" s="129"/>
      <c r="B162" s="139"/>
      <c r="C162" s="141" t="s">
        <v>170</v>
      </c>
      <c r="D162" s="142"/>
      <c r="E162" s="147"/>
      <c r="F162" s="693" t="str">
        <f t="shared" ref="F162:F174" si="101">IF(SUM(G162:I162)=0,"",SUM(G162:I162))</f>
        <v/>
      </c>
      <c r="G162" s="324"/>
      <c r="H162" s="324"/>
      <c r="I162" s="325"/>
      <c r="J162" s="714"/>
      <c r="K162" s="432"/>
      <c r="L162" s="432"/>
      <c r="M162" s="949"/>
    </row>
    <row r="163" spans="1:13">
      <c r="A163" s="129"/>
      <c r="B163" s="139"/>
      <c r="C163" s="141" t="s">
        <v>171</v>
      </c>
      <c r="D163" s="142"/>
      <c r="E163" s="147"/>
      <c r="F163" s="693" t="str">
        <f t="shared" si="101"/>
        <v/>
      </c>
      <c r="G163" s="324"/>
      <c r="H163" s="324"/>
      <c r="I163" s="325"/>
      <c r="J163" s="714"/>
      <c r="K163" s="432"/>
      <c r="L163" s="432"/>
      <c r="M163" s="949"/>
    </row>
    <row r="164" spans="1:13">
      <c r="A164" s="129"/>
      <c r="B164" s="139"/>
      <c r="C164" s="141" t="s">
        <v>126</v>
      </c>
      <c r="D164" s="142"/>
      <c r="E164" s="147"/>
      <c r="F164" s="693" t="str">
        <f t="shared" si="101"/>
        <v/>
      </c>
      <c r="G164" s="324"/>
      <c r="H164" s="324"/>
      <c r="I164" s="325"/>
      <c r="J164" s="714"/>
      <c r="K164" s="432"/>
      <c r="L164" s="432"/>
      <c r="M164" s="949"/>
    </row>
    <row r="165" spans="1:13">
      <c r="A165" s="129"/>
      <c r="B165" s="139"/>
      <c r="C165" s="141" t="s">
        <v>127</v>
      </c>
      <c r="D165" s="142"/>
      <c r="E165" s="147"/>
      <c r="F165" s="693" t="str">
        <f t="shared" si="101"/>
        <v/>
      </c>
      <c r="G165" s="324"/>
      <c r="H165" s="324"/>
      <c r="I165" s="325"/>
      <c r="J165" s="714"/>
      <c r="K165" s="432"/>
      <c r="L165" s="432"/>
      <c r="M165" s="949"/>
    </row>
    <row r="166" spans="1:13">
      <c r="A166" s="129"/>
      <c r="B166" s="139"/>
      <c r="C166" s="141" t="s">
        <v>128</v>
      </c>
      <c r="D166" s="142"/>
      <c r="E166" s="147"/>
      <c r="F166" s="693" t="str">
        <f t="shared" si="101"/>
        <v/>
      </c>
      <c r="G166" s="324"/>
      <c r="H166" s="324"/>
      <c r="I166" s="325"/>
      <c r="J166" s="714"/>
      <c r="K166" s="432"/>
      <c r="L166" s="432"/>
      <c r="M166" s="949"/>
    </row>
    <row r="167" spans="1:13">
      <c r="A167" s="129"/>
      <c r="B167" s="139"/>
      <c r="C167" s="141" t="s">
        <v>238</v>
      </c>
      <c r="D167" s="142"/>
      <c r="E167" s="147"/>
      <c r="F167" s="693" t="str">
        <f t="shared" si="101"/>
        <v/>
      </c>
      <c r="G167" s="324"/>
      <c r="H167" s="324"/>
      <c r="I167" s="325"/>
      <c r="J167" s="714"/>
      <c r="K167" s="432"/>
      <c r="L167" s="432"/>
      <c r="M167" s="949"/>
    </row>
    <row r="168" spans="1:13">
      <c r="A168" s="129"/>
      <c r="B168" s="139"/>
      <c r="C168" s="141" t="s">
        <v>239</v>
      </c>
      <c r="D168" s="142"/>
      <c r="E168" s="147"/>
      <c r="F168" s="693" t="str">
        <f t="shared" si="101"/>
        <v/>
      </c>
      <c r="G168" s="324"/>
      <c r="H168" s="324"/>
      <c r="I168" s="325"/>
      <c r="J168" s="714"/>
      <c r="K168" s="432"/>
      <c r="L168" s="432"/>
      <c r="M168" s="949"/>
    </row>
    <row r="169" spans="1:13">
      <c r="A169" s="129"/>
      <c r="B169" s="139"/>
      <c r="C169" s="141" t="s">
        <v>240</v>
      </c>
      <c r="D169" s="142"/>
      <c r="E169" s="147"/>
      <c r="F169" s="693" t="str">
        <f t="shared" si="101"/>
        <v/>
      </c>
      <c r="G169" s="324"/>
      <c r="H169" s="324"/>
      <c r="I169" s="325"/>
      <c r="J169" s="714"/>
      <c r="K169" s="432"/>
      <c r="L169" s="432"/>
      <c r="M169" s="949"/>
    </row>
    <row r="170" spans="1:13">
      <c r="A170" s="129"/>
      <c r="B170" s="139"/>
      <c r="C170" s="141" t="s">
        <v>241</v>
      </c>
      <c r="D170" s="142"/>
      <c r="E170" s="147"/>
      <c r="F170" s="693" t="str">
        <f t="shared" si="101"/>
        <v/>
      </c>
      <c r="G170" s="324"/>
      <c r="H170" s="324"/>
      <c r="I170" s="325"/>
      <c r="J170" s="714"/>
      <c r="K170" s="432"/>
      <c r="L170" s="432"/>
      <c r="M170" s="949"/>
    </row>
    <row r="171" spans="1:13">
      <c r="A171" s="129"/>
      <c r="B171" s="139"/>
      <c r="C171" s="141" t="s">
        <v>174</v>
      </c>
      <c r="D171" s="142"/>
      <c r="E171" s="147"/>
      <c r="F171" s="693" t="str">
        <f t="shared" si="101"/>
        <v/>
      </c>
      <c r="G171" s="324"/>
      <c r="H171" s="324"/>
      <c r="I171" s="325"/>
      <c r="J171" s="714"/>
      <c r="K171" s="432"/>
      <c r="L171" s="432"/>
      <c r="M171" s="949"/>
    </row>
    <row r="172" spans="1:13">
      <c r="A172" s="129"/>
      <c r="B172" s="139"/>
      <c r="C172" s="141" t="s">
        <v>175</v>
      </c>
      <c r="D172" s="142"/>
      <c r="E172" s="147"/>
      <c r="F172" s="693" t="str">
        <f t="shared" si="101"/>
        <v/>
      </c>
      <c r="G172" s="324"/>
      <c r="H172" s="324"/>
      <c r="I172" s="325"/>
      <c r="J172" s="714"/>
      <c r="K172" s="432"/>
      <c r="L172" s="432"/>
      <c r="M172" s="949"/>
    </row>
    <row r="173" spans="1:13">
      <c r="A173" s="129"/>
      <c r="B173" s="139"/>
      <c r="C173" s="141" t="s">
        <v>176</v>
      </c>
      <c r="D173" s="142"/>
      <c r="E173" s="147"/>
      <c r="F173" s="693" t="str">
        <f t="shared" si="101"/>
        <v/>
      </c>
      <c r="G173" s="324"/>
      <c r="H173" s="324"/>
      <c r="I173" s="325"/>
      <c r="J173" s="714"/>
      <c r="K173" s="432"/>
      <c r="L173" s="432"/>
      <c r="M173" s="949"/>
    </row>
    <row r="174" spans="1:13">
      <c r="A174" s="129"/>
      <c r="B174" s="139"/>
      <c r="C174" s="141" t="s">
        <v>177</v>
      </c>
      <c r="D174" s="142"/>
      <c r="E174" s="147"/>
      <c r="F174" s="693" t="str">
        <f t="shared" si="101"/>
        <v/>
      </c>
      <c r="G174" s="324"/>
      <c r="H174" s="324"/>
      <c r="I174" s="325"/>
      <c r="J174" s="714"/>
      <c r="K174" s="432"/>
      <c r="L174" s="432"/>
      <c r="M174" s="949"/>
    </row>
    <row r="175" spans="1:13">
      <c r="A175" s="129"/>
      <c r="B175" s="139"/>
      <c r="C175" s="141" t="s">
        <v>178</v>
      </c>
      <c r="D175" s="142"/>
      <c r="E175" s="147"/>
      <c r="F175" s="693" t="str">
        <f>IF(SUM(G175:I175)=0,"",SUM(G175:I175))</f>
        <v/>
      </c>
      <c r="G175" s="324"/>
      <c r="H175" s="324"/>
      <c r="I175" s="325"/>
      <c r="J175" s="714"/>
      <c r="K175" s="432"/>
      <c r="L175" s="432"/>
      <c r="M175" s="949"/>
    </row>
    <row r="176" spans="1:13">
      <c r="A176" s="129"/>
      <c r="B176" s="139"/>
      <c r="C176" s="141" t="s">
        <v>179</v>
      </c>
      <c r="D176" s="142"/>
      <c r="E176" s="147"/>
      <c r="F176" s="693" t="str">
        <f t="shared" ref="F176:F183" si="102">IF(SUM(G176:I176)=0,"",SUM(G176:I176))</f>
        <v/>
      </c>
      <c r="G176" s="324"/>
      <c r="H176" s="324"/>
      <c r="I176" s="325"/>
      <c r="J176" s="714"/>
      <c r="K176" s="432"/>
      <c r="L176" s="432"/>
      <c r="M176" s="949"/>
    </row>
    <row r="177" spans="1:13">
      <c r="A177" s="129"/>
      <c r="B177" s="139"/>
      <c r="C177" s="141" t="s">
        <v>180</v>
      </c>
      <c r="D177" s="142"/>
      <c r="E177" s="147"/>
      <c r="F177" s="693" t="str">
        <f t="shared" si="102"/>
        <v/>
      </c>
      <c r="G177" s="324"/>
      <c r="H177" s="324"/>
      <c r="I177" s="325"/>
      <c r="J177" s="714"/>
      <c r="K177" s="432"/>
      <c r="L177" s="432"/>
      <c r="M177" s="949"/>
    </row>
    <row r="178" spans="1:13">
      <c r="A178" s="129"/>
      <c r="B178" s="139"/>
      <c r="C178" s="141" t="s">
        <v>181</v>
      </c>
      <c r="D178" s="142"/>
      <c r="E178" s="147"/>
      <c r="F178" s="693" t="str">
        <f t="shared" si="102"/>
        <v/>
      </c>
      <c r="G178" s="324"/>
      <c r="H178" s="324"/>
      <c r="I178" s="325"/>
      <c r="J178" s="714"/>
      <c r="K178" s="432"/>
      <c r="L178" s="432"/>
      <c r="M178" s="949"/>
    </row>
    <row r="179" spans="1:13">
      <c r="A179" s="129"/>
      <c r="B179" s="139"/>
      <c r="C179" s="141" t="s">
        <v>182</v>
      </c>
      <c r="D179" s="142"/>
      <c r="E179" s="147"/>
      <c r="F179" s="693" t="str">
        <f t="shared" si="102"/>
        <v/>
      </c>
      <c r="G179" s="324"/>
      <c r="H179" s="324"/>
      <c r="I179" s="325"/>
      <c r="J179" s="714"/>
      <c r="K179" s="432"/>
      <c r="L179" s="432"/>
      <c r="M179" s="949"/>
    </row>
    <row r="180" spans="1:13">
      <c r="A180" s="129"/>
      <c r="B180" s="139"/>
      <c r="C180" s="348" t="s">
        <v>183</v>
      </c>
      <c r="D180" s="148"/>
      <c r="E180" s="149"/>
      <c r="F180" s="344" t="str">
        <f t="shared" si="102"/>
        <v/>
      </c>
      <c r="G180" s="324"/>
      <c r="H180" s="324"/>
      <c r="I180" s="325"/>
      <c r="J180" s="723"/>
      <c r="K180" s="468"/>
      <c r="L180" s="468"/>
      <c r="M180" s="960"/>
    </row>
    <row r="181" spans="1:13">
      <c r="A181" s="129"/>
      <c r="B181" s="139"/>
      <c r="C181" s="348" t="s">
        <v>184</v>
      </c>
      <c r="D181" s="148"/>
      <c r="E181" s="149"/>
      <c r="F181" s="344" t="str">
        <f t="shared" si="102"/>
        <v/>
      </c>
      <c r="G181" s="324"/>
      <c r="H181" s="324"/>
      <c r="I181" s="325"/>
      <c r="J181" s="723"/>
      <c r="K181" s="468"/>
      <c r="L181" s="468"/>
      <c r="M181" s="960"/>
    </row>
    <row r="182" spans="1:13">
      <c r="A182" s="129"/>
      <c r="B182" s="139"/>
      <c r="C182" s="348" t="s">
        <v>185</v>
      </c>
      <c r="D182" s="142"/>
      <c r="E182" s="147"/>
      <c r="F182" s="693" t="str">
        <f t="shared" si="102"/>
        <v/>
      </c>
      <c r="G182" s="324"/>
      <c r="H182" s="324"/>
      <c r="I182" s="325"/>
      <c r="J182" s="714"/>
      <c r="K182" s="432"/>
      <c r="L182" s="432"/>
      <c r="M182" s="949"/>
    </row>
    <row r="183" spans="1:13">
      <c r="A183" s="129"/>
      <c r="B183" s="139"/>
      <c r="C183" s="348" t="s">
        <v>186</v>
      </c>
      <c r="D183" s="142"/>
      <c r="E183" s="147"/>
      <c r="F183" s="693" t="str">
        <f t="shared" si="102"/>
        <v/>
      </c>
      <c r="G183" s="324"/>
      <c r="H183" s="324"/>
      <c r="I183" s="325"/>
      <c r="J183" s="714"/>
      <c r="K183" s="432"/>
      <c r="L183" s="432"/>
      <c r="M183" s="949"/>
    </row>
    <row r="184" spans="1:13">
      <c r="A184" s="129"/>
      <c r="B184" s="139"/>
      <c r="C184" s="348" t="s">
        <v>187</v>
      </c>
      <c r="D184" s="148"/>
      <c r="E184" s="149"/>
      <c r="F184" s="344" t="str">
        <f>IF(SUM(G184:I184)=0,"",SUM(G184:I184))</f>
        <v/>
      </c>
      <c r="G184" s="324"/>
      <c r="H184" s="324"/>
      <c r="I184" s="325"/>
      <c r="J184" s="723"/>
      <c r="K184" s="468"/>
      <c r="L184" s="468"/>
      <c r="M184" s="960"/>
    </row>
    <row r="185" spans="1:13">
      <c r="A185" s="129"/>
      <c r="B185" s="139"/>
      <c r="C185" s="348" t="s">
        <v>188</v>
      </c>
      <c r="D185" s="142"/>
      <c r="E185" s="147"/>
      <c r="F185" s="693" t="str">
        <f>IF(SUM(G185:I185)=0,"",SUM(G185:I185))</f>
        <v/>
      </c>
      <c r="G185" s="324"/>
      <c r="H185" s="324"/>
      <c r="I185" s="325"/>
      <c r="J185" s="714"/>
      <c r="K185" s="432"/>
      <c r="L185" s="432"/>
      <c r="M185" s="949"/>
    </row>
    <row r="186" spans="1:13">
      <c r="A186" s="129"/>
      <c r="B186" s="139"/>
      <c r="C186" s="348" t="s">
        <v>189</v>
      </c>
      <c r="D186" s="142"/>
      <c r="E186" s="147"/>
      <c r="F186" s="693" t="str">
        <f>IF(SUM(G186:I186)=0,"",SUM(G186:I186))</f>
        <v/>
      </c>
      <c r="G186" s="324"/>
      <c r="H186" s="324"/>
      <c r="I186" s="325"/>
      <c r="J186" s="714"/>
      <c r="K186" s="432"/>
      <c r="L186" s="432"/>
      <c r="M186" s="949"/>
    </row>
    <row r="187" spans="1:13">
      <c r="A187" s="129"/>
      <c r="B187" s="139"/>
      <c r="C187" s="342" t="s">
        <v>37</v>
      </c>
      <c r="D187" s="131"/>
      <c r="E187" s="343"/>
      <c r="F187" s="344" t="n">
        <f t="shared" ref="F187:M187" si="103">SUM(F162:F186)</f>
        <v>0.0</v>
      </c>
      <c r="G187" s="345" t="n">
        <f t="shared" si="103"/>
        <v>0.0</v>
      </c>
      <c r="H187" s="345" t="n">
        <f t="shared" si="103"/>
        <v>0.0</v>
      </c>
      <c r="I187" s="346" t="n">
        <f t="shared" si="103"/>
        <v>0.0</v>
      </c>
      <c r="J187" s="722" t="n">
        <f t="shared" si="103"/>
        <v>0.0</v>
      </c>
      <c r="K187" s="958" t="n">
        <f t="shared" si="103"/>
        <v>0.0</v>
      </c>
      <c r="L187" s="958" t="n">
        <f t="shared" si="103"/>
        <v>0.0</v>
      </c>
      <c r="M187" s="959" t="n">
        <f t="shared" si="103"/>
        <v>0.0</v>
      </c>
    </row>
    <row r="188" spans="1:13">
      <c r="A188" s="129"/>
      <c r="B188" s="1100" t="s">
        <v>191</v>
      </c>
      <c r="C188" s="1101"/>
      <c r="D188" s="1101"/>
      <c r="E188" s="1101"/>
      <c r="F188" s="693" t="n">
        <f>SUM(G188:I188)</f>
        <v>19589.899999999998</v>
      </c>
      <c r="G188" s="276" t="n">
        <f t="shared" ref="G188:M188" si="104">SUMPRODUCT(G124:G132,G243:G251)</f>
        <v>6569.450000000001</v>
      </c>
      <c r="H188" s="276" t="n">
        <f t="shared" si="104"/>
        <v>6534.899999999999</v>
      </c>
      <c r="I188" s="349" t="n">
        <f t="shared" si="104"/>
        <v>6485.549999999999</v>
      </c>
      <c r="J188" s="724" t="n">
        <f t="shared" si="104"/>
        <v>6381.6</v>
      </c>
      <c r="K188" s="907" t="n">
        <f t="shared" si="104"/>
        <v>5999.7</v>
      </c>
      <c r="L188" s="907" t="n">
        <f t="shared" si="104"/>
        <v>5639.949999999999</v>
      </c>
      <c r="M188" s="908" t="n">
        <f t="shared" si="104"/>
        <v>5300.3</v>
      </c>
    </row>
    <row r="189" spans="1:13" ht="14.25" thickBot="1">
      <c r="A189" s="350"/>
      <c r="B189" s="1102" t="s">
        <v>192</v>
      </c>
      <c r="C189" s="1103"/>
      <c r="D189" s="1103"/>
      <c r="E189" s="1103"/>
      <c r="F189" s="351" t="n">
        <f>SUM(G189:I189)</f>
        <v>0.0</v>
      </c>
      <c r="G189" s="352" t="n">
        <f t="shared" ref="G189:M189" si="105">SUMPRODUCT(G162:G186,G195:G219)</f>
        <v>0.0</v>
      </c>
      <c r="H189" s="352" t="n">
        <f t="shared" si="105"/>
        <v>0.0</v>
      </c>
      <c r="I189" s="353" t="n">
        <f t="shared" si="105"/>
        <v>0.0</v>
      </c>
      <c r="J189" s="725" t="n">
        <f t="shared" si="105"/>
        <v>0.0</v>
      </c>
      <c r="K189" s="961" t="n">
        <f t="shared" si="105"/>
        <v>0.0</v>
      </c>
      <c r="L189" s="961" t="n">
        <f t="shared" si="105"/>
        <v>0.0</v>
      </c>
      <c r="M189" s="962" t="n">
        <f t="shared" si="105"/>
        <v>0.0</v>
      </c>
    </row>
    <row r="190" spans="1:13">
      <c r="K190" s="927"/>
      <c r="L190" s="927"/>
      <c r="M190" s="927"/>
    </row>
    <row r="191" spans="1:13" ht="14.25" thickBot="1">
      <c r="A191" s="215" t="s">
        <v>193</v>
      </c>
      <c r="B191" s="219"/>
      <c r="C191" s="219"/>
      <c r="D191" s="219"/>
      <c r="E191" s="219"/>
      <c r="F191" s="219"/>
      <c r="G191" s="219"/>
      <c r="H191" s="219"/>
      <c r="I191" s="219"/>
      <c r="J191" s="219"/>
      <c r="K191" s="963"/>
      <c r="L191" s="963"/>
      <c r="M191" s="963"/>
    </row>
    <row r="192" spans="1:13">
      <c r="A192" s="248"/>
      <c r="B192" s="249"/>
      <c r="C192" s="249"/>
      <c r="D192" s="249"/>
      <c r="E192" s="249"/>
      <c r="F192" s="1104" t="s">
        <v>386</v>
      </c>
      <c r="G192" s="1105"/>
      <c r="H192" s="1105"/>
      <c r="I192" s="1106"/>
      <c r="J192" s="1107" t="s">
        <v>266</v>
      </c>
      <c r="K192" s="1107" t="s">
        <v>332</v>
      </c>
      <c r="L192" s="1107" t="s">
        <v>333</v>
      </c>
      <c r="M192" s="1119" t="s">
        <v>334</v>
      </c>
    </row>
    <row r="193" spans="1:13" ht="14.25" thickBot="1">
      <c r="A193" s="250"/>
      <c r="B193" s="214"/>
      <c r="C193" s="214"/>
      <c r="D193" s="214"/>
      <c r="E193" s="214"/>
      <c r="F193" s="251"/>
      <c r="G193" s="252" t="s">
        <v>259</v>
      </c>
      <c r="H193" s="253" t="s">
        <v>260</v>
      </c>
      <c r="I193" s="254" t="s">
        <v>261</v>
      </c>
      <c r="J193" s="1108"/>
      <c r="K193" s="1118"/>
      <c r="L193" s="1118"/>
      <c r="M193" s="1120"/>
    </row>
    <row r="194" spans="1:13">
      <c r="A194" s="354" t="s">
        <v>194</v>
      </c>
      <c r="B194" s="355"/>
      <c r="C194" s="355"/>
      <c r="D194" s="355"/>
      <c r="E194" s="355"/>
      <c r="F194" s="356"/>
      <c r="G194" s="357" t="n">
        <f t="shared" ref="G194:M194" si="106">COUNT(G195:G219)</f>
        <v>0.0</v>
      </c>
      <c r="H194" s="357" t="n">
        <f t="shared" si="106"/>
        <v>0.0</v>
      </c>
      <c r="I194" s="358" t="n">
        <f t="shared" si="106"/>
        <v>0.0</v>
      </c>
      <c r="J194" s="709" t="n">
        <f t="shared" si="106"/>
        <v>0.0</v>
      </c>
      <c r="K194" s="964" t="n">
        <f t="shared" si="106"/>
        <v>0.0</v>
      </c>
      <c r="L194" s="964" t="n">
        <f t="shared" si="106"/>
        <v>0.0</v>
      </c>
      <c r="M194" s="965" t="n">
        <f t="shared" si="106"/>
        <v>0.0</v>
      </c>
    </row>
    <row r="195" spans="1:13">
      <c r="A195" s="225" t="s">
        <v>195</v>
      </c>
      <c r="B195" s="283"/>
      <c r="C195" s="214"/>
      <c r="D195" s="230" t="s">
        <v>196</v>
      </c>
      <c r="E195" s="227"/>
      <c r="F195" s="359"/>
      <c r="G195" s="360"/>
      <c r="H195" s="360"/>
      <c r="I195" s="361"/>
      <c r="J195" s="710"/>
      <c r="K195" s="966"/>
      <c r="L195" s="966"/>
      <c r="M195" s="967"/>
    </row>
    <row r="196" spans="1:13">
      <c r="A196" s="250"/>
      <c r="B196" s="214"/>
      <c r="C196" s="214"/>
      <c r="D196" s="230" t="s">
        <v>197</v>
      </c>
      <c r="E196" s="227"/>
      <c r="F196" s="359"/>
      <c r="G196" s="360"/>
      <c r="H196" s="360"/>
      <c r="I196" s="361"/>
      <c r="J196" s="710"/>
      <c r="K196" s="966"/>
      <c r="L196" s="966"/>
      <c r="M196" s="967"/>
    </row>
    <row r="197" spans="1:13">
      <c r="A197" s="250"/>
      <c r="B197" s="214"/>
      <c r="C197" s="362"/>
      <c r="D197" s="230" t="s">
        <v>198</v>
      </c>
      <c r="E197" s="227"/>
      <c r="F197" s="359"/>
      <c r="G197" s="360"/>
      <c r="H197" s="360"/>
      <c r="I197" s="361"/>
      <c r="J197" s="710"/>
      <c r="K197" s="966"/>
      <c r="L197" s="966"/>
      <c r="M197" s="967"/>
    </row>
    <row r="198" spans="1:13">
      <c r="A198" s="250"/>
      <c r="B198" s="214"/>
      <c r="C198" s="362"/>
      <c r="D198" s="363" t="s">
        <v>199</v>
      </c>
      <c r="E198" s="364"/>
      <c r="F198" s="359"/>
      <c r="G198" s="365"/>
      <c r="H198" s="365"/>
      <c r="I198" s="366"/>
      <c r="J198" s="711"/>
      <c r="K198" s="968"/>
      <c r="L198" s="968"/>
      <c r="M198" s="969"/>
    </row>
    <row r="199" spans="1:13">
      <c r="A199" s="250"/>
      <c r="B199" s="214"/>
      <c r="C199" s="362"/>
      <c r="D199" s="363" t="s">
        <v>200</v>
      </c>
      <c r="E199" s="364"/>
      <c r="F199" s="359"/>
      <c r="G199" s="365"/>
      <c r="H199" s="365"/>
      <c r="I199" s="366"/>
      <c r="J199" s="711"/>
      <c r="K199" s="968"/>
      <c r="L199" s="968"/>
      <c r="M199" s="969"/>
    </row>
    <row r="200" spans="1:13">
      <c r="A200" s="250"/>
      <c r="B200" s="214"/>
      <c r="C200" s="362"/>
      <c r="D200" s="230" t="s">
        <v>201</v>
      </c>
      <c r="E200" s="227"/>
      <c r="F200" s="359"/>
      <c r="G200" s="360"/>
      <c r="H200" s="360"/>
      <c r="I200" s="361"/>
      <c r="J200" s="710"/>
      <c r="K200" s="966"/>
      <c r="L200" s="966"/>
      <c r="M200" s="967"/>
    </row>
    <row r="201" spans="1:13">
      <c r="A201" s="250"/>
      <c r="B201" s="214"/>
      <c r="C201" s="362"/>
      <c r="D201" s="230" t="s">
        <v>202</v>
      </c>
      <c r="E201" s="227"/>
      <c r="F201" s="359"/>
      <c r="G201" s="360"/>
      <c r="H201" s="360"/>
      <c r="I201" s="361"/>
      <c r="J201" s="710"/>
      <c r="K201" s="966"/>
      <c r="L201" s="966"/>
      <c r="M201" s="967"/>
    </row>
    <row r="202" spans="1:13">
      <c r="A202" s="250"/>
      <c r="B202" s="214"/>
      <c r="C202" s="362"/>
      <c r="D202" s="230" t="s">
        <v>203</v>
      </c>
      <c r="E202" s="227"/>
      <c r="F202" s="359"/>
      <c r="G202" s="360"/>
      <c r="H202" s="360"/>
      <c r="I202" s="361"/>
      <c r="J202" s="710"/>
      <c r="K202" s="966"/>
      <c r="L202" s="966"/>
      <c r="M202" s="967"/>
    </row>
    <row r="203" spans="1:13">
      <c r="A203" s="250"/>
      <c r="B203" s="214"/>
      <c r="C203" s="362"/>
      <c r="D203" s="230" t="s">
        <v>204</v>
      </c>
      <c r="E203" s="227"/>
      <c r="F203" s="359"/>
      <c r="G203" s="360"/>
      <c r="H203" s="360"/>
      <c r="I203" s="361"/>
      <c r="J203" s="710"/>
      <c r="K203" s="966"/>
      <c r="L203" s="966"/>
      <c r="M203" s="967"/>
    </row>
    <row r="204" spans="1:13">
      <c r="A204" s="250"/>
      <c r="B204" s="214"/>
      <c r="C204" s="362"/>
      <c r="D204" s="230" t="s">
        <v>174</v>
      </c>
      <c r="E204" s="227"/>
      <c r="F204" s="359"/>
      <c r="G204" s="360"/>
      <c r="H204" s="360"/>
      <c r="I204" s="361"/>
      <c r="J204" s="710"/>
      <c r="K204" s="966"/>
      <c r="L204" s="966"/>
      <c r="M204" s="967"/>
    </row>
    <row r="205" spans="1:13">
      <c r="A205" s="250"/>
      <c r="B205" s="214"/>
      <c r="C205" s="362"/>
      <c r="D205" s="230" t="s">
        <v>175</v>
      </c>
      <c r="E205" s="227"/>
      <c r="F205" s="359"/>
      <c r="G205" s="360"/>
      <c r="H205" s="360"/>
      <c r="I205" s="361"/>
      <c r="J205" s="710"/>
      <c r="K205" s="966"/>
      <c r="L205" s="966"/>
      <c r="M205" s="967"/>
    </row>
    <row r="206" spans="1:13">
      <c r="A206" s="250"/>
      <c r="B206" s="214"/>
      <c r="C206" s="362"/>
      <c r="D206" s="230" t="s">
        <v>176</v>
      </c>
      <c r="E206" s="227"/>
      <c r="F206" s="359"/>
      <c r="G206" s="360"/>
      <c r="H206" s="360"/>
      <c r="I206" s="361"/>
      <c r="J206" s="710"/>
      <c r="K206" s="966"/>
      <c r="L206" s="966"/>
      <c r="M206" s="967"/>
    </row>
    <row r="207" spans="1:13">
      <c r="A207" s="250"/>
      <c r="B207" s="214"/>
      <c r="C207" s="362"/>
      <c r="D207" s="230" t="s">
        <v>177</v>
      </c>
      <c r="E207" s="227"/>
      <c r="F207" s="359"/>
      <c r="G207" s="360"/>
      <c r="H207" s="360"/>
      <c r="I207" s="361"/>
      <c r="J207" s="710"/>
      <c r="K207" s="966"/>
      <c r="L207" s="966"/>
      <c r="M207" s="967"/>
    </row>
    <row r="208" spans="1:13">
      <c r="A208" s="250"/>
      <c r="B208" s="214"/>
      <c r="C208" s="362"/>
      <c r="D208" s="230" t="s">
        <v>178</v>
      </c>
      <c r="E208" s="227"/>
      <c r="F208" s="359"/>
      <c r="G208" s="360"/>
      <c r="H208" s="360"/>
      <c r="I208" s="361"/>
      <c r="J208" s="710"/>
      <c r="K208" s="966"/>
      <c r="L208" s="966"/>
      <c r="M208" s="967"/>
    </row>
    <row r="209" spans="1:13">
      <c r="A209" s="250"/>
      <c r="B209" s="214"/>
      <c r="C209" s="362"/>
      <c r="D209" s="230" t="s">
        <v>179</v>
      </c>
      <c r="E209" s="227"/>
      <c r="F209" s="359"/>
      <c r="G209" s="360"/>
      <c r="H209" s="360"/>
      <c r="I209" s="361"/>
      <c r="J209" s="710"/>
      <c r="K209" s="966"/>
      <c r="L209" s="966"/>
      <c r="M209" s="967"/>
    </row>
    <row r="210" spans="1:13">
      <c r="A210" s="250"/>
      <c r="B210" s="214"/>
      <c r="C210" s="362"/>
      <c r="D210" s="230" t="s">
        <v>180</v>
      </c>
      <c r="E210" s="227"/>
      <c r="F210" s="359"/>
      <c r="G210" s="360"/>
      <c r="H210" s="360"/>
      <c r="I210" s="361"/>
      <c r="J210" s="710"/>
      <c r="K210" s="966"/>
      <c r="L210" s="966"/>
      <c r="M210" s="967"/>
    </row>
    <row r="211" spans="1:13">
      <c r="A211" s="250"/>
      <c r="B211" s="214"/>
      <c r="C211" s="362"/>
      <c r="D211" s="230" t="s">
        <v>181</v>
      </c>
      <c r="E211" s="227"/>
      <c r="F211" s="359"/>
      <c r="G211" s="360"/>
      <c r="H211" s="360"/>
      <c r="I211" s="361"/>
      <c r="J211" s="710"/>
      <c r="K211" s="966"/>
      <c r="L211" s="966"/>
      <c r="M211" s="967"/>
    </row>
    <row r="212" spans="1:13">
      <c r="A212" s="250"/>
      <c r="B212" s="214"/>
      <c r="C212" s="362"/>
      <c r="D212" s="230" t="s">
        <v>182</v>
      </c>
      <c r="E212" s="227"/>
      <c r="F212" s="359"/>
      <c r="G212" s="360"/>
      <c r="H212" s="360"/>
      <c r="I212" s="361"/>
      <c r="J212" s="710"/>
      <c r="K212" s="966"/>
      <c r="L212" s="966"/>
      <c r="M212" s="967"/>
    </row>
    <row r="213" spans="1:13">
      <c r="A213" s="250"/>
      <c r="B213" s="214"/>
      <c r="C213" s="362"/>
      <c r="D213" s="230" t="s">
        <v>183</v>
      </c>
      <c r="E213" s="227"/>
      <c r="F213" s="359"/>
      <c r="G213" s="360"/>
      <c r="H213" s="360"/>
      <c r="I213" s="361"/>
      <c r="J213" s="710"/>
      <c r="K213" s="966"/>
      <c r="L213" s="966"/>
      <c r="M213" s="967"/>
    </row>
    <row r="214" spans="1:13">
      <c r="A214" s="250"/>
      <c r="B214" s="214"/>
      <c r="C214" s="214"/>
      <c r="D214" s="230" t="s">
        <v>184</v>
      </c>
      <c r="E214" s="227"/>
      <c r="F214" s="359"/>
      <c r="G214" s="360"/>
      <c r="H214" s="360"/>
      <c r="I214" s="361"/>
      <c r="J214" s="710"/>
      <c r="K214" s="966"/>
      <c r="L214" s="966"/>
      <c r="M214" s="967"/>
    </row>
    <row r="215" spans="1:13">
      <c r="A215" s="250"/>
      <c r="B215" s="214"/>
      <c r="C215" s="362"/>
      <c r="D215" s="230" t="s">
        <v>185</v>
      </c>
      <c r="E215" s="227"/>
      <c r="F215" s="359"/>
      <c r="G215" s="360"/>
      <c r="H215" s="360"/>
      <c r="I215" s="361"/>
      <c r="J215" s="710"/>
      <c r="K215" s="966"/>
      <c r="L215" s="966"/>
      <c r="M215" s="967"/>
    </row>
    <row r="216" spans="1:13">
      <c r="A216" s="250"/>
      <c r="B216" s="214"/>
      <c r="C216" s="362"/>
      <c r="D216" s="230" t="s">
        <v>186</v>
      </c>
      <c r="E216" s="227"/>
      <c r="F216" s="359"/>
      <c r="G216" s="360"/>
      <c r="H216" s="360"/>
      <c r="I216" s="361"/>
      <c r="J216" s="710"/>
      <c r="K216" s="966"/>
      <c r="L216" s="966"/>
      <c r="M216" s="967"/>
    </row>
    <row r="217" spans="1:13">
      <c r="A217" s="250"/>
      <c r="B217" s="214"/>
      <c r="C217" s="214"/>
      <c r="D217" s="230" t="s">
        <v>187</v>
      </c>
      <c r="E217" s="227"/>
      <c r="F217" s="359"/>
      <c r="G217" s="360"/>
      <c r="H217" s="360"/>
      <c r="I217" s="361"/>
      <c r="J217" s="710"/>
      <c r="K217" s="966"/>
      <c r="L217" s="966"/>
      <c r="M217" s="967"/>
    </row>
    <row r="218" spans="1:13">
      <c r="A218" s="250"/>
      <c r="B218" s="214"/>
      <c r="C218" s="362"/>
      <c r="D218" s="230" t="s">
        <v>188</v>
      </c>
      <c r="E218" s="227"/>
      <c r="F218" s="359"/>
      <c r="G218" s="360"/>
      <c r="H218" s="360"/>
      <c r="I218" s="361"/>
      <c r="J218" s="710"/>
      <c r="K218" s="966"/>
      <c r="L218" s="966"/>
      <c r="M218" s="967"/>
    </row>
    <row r="219" spans="1:13">
      <c r="A219" s="250"/>
      <c r="B219" s="214"/>
      <c r="C219" s="362"/>
      <c r="D219" s="230" t="s">
        <v>189</v>
      </c>
      <c r="E219" s="227"/>
      <c r="F219" s="359"/>
      <c r="G219" s="360"/>
      <c r="H219" s="360"/>
      <c r="I219" s="361"/>
      <c r="J219" s="710"/>
      <c r="K219" s="966"/>
      <c r="L219" s="966"/>
      <c r="M219" s="967"/>
    </row>
    <row r="220" spans="1:13">
      <c r="A220" s="225" t="s">
        <v>205</v>
      </c>
      <c r="B220" s="283"/>
      <c r="C220" s="283"/>
      <c r="D220" s="230" t="s">
        <v>206</v>
      </c>
      <c r="E220" s="227"/>
      <c r="F220" s="690"/>
      <c r="G220" s="367"/>
      <c r="H220" s="367"/>
      <c r="I220" s="368"/>
      <c r="J220" s="712"/>
      <c r="K220" s="885"/>
      <c r="L220" s="885"/>
      <c r="M220" s="886"/>
    </row>
    <row r="221" spans="1:13">
      <c r="A221" s="250"/>
      <c r="B221" s="214"/>
      <c r="C221" s="214"/>
      <c r="D221" s="230" t="s">
        <v>207</v>
      </c>
      <c r="E221" s="227"/>
      <c r="F221" s="690"/>
      <c r="G221" s="367"/>
      <c r="H221" s="367"/>
      <c r="I221" s="368"/>
      <c r="J221" s="712"/>
      <c r="K221" s="885"/>
      <c r="L221" s="885"/>
      <c r="M221" s="886"/>
    </row>
    <row r="222" spans="1:13">
      <c r="A222" s="250"/>
      <c r="B222" s="214"/>
      <c r="C222" s="362"/>
      <c r="D222" s="230" t="s">
        <v>208</v>
      </c>
      <c r="E222" s="227"/>
      <c r="F222" s="690"/>
      <c r="G222" s="367"/>
      <c r="H222" s="367"/>
      <c r="I222" s="368"/>
      <c r="J222" s="712"/>
      <c r="K222" s="885"/>
      <c r="L222" s="885"/>
      <c r="M222" s="886"/>
    </row>
    <row r="223" spans="1:13">
      <c r="A223" s="250"/>
      <c r="B223" s="214"/>
      <c r="C223" s="362"/>
      <c r="D223" s="230" t="s">
        <v>209</v>
      </c>
      <c r="E223" s="227"/>
      <c r="F223" s="690"/>
      <c r="G223" s="367"/>
      <c r="H223" s="367"/>
      <c r="I223" s="368"/>
      <c r="J223" s="712"/>
      <c r="K223" s="885"/>
      <c r="L223" s="885"/>
      <c r="M223" s="886"/>
    </row>
    <row r="224" spans="1:13">
      <c r="A224" s="250"/>
      <c r="B224" s="214"/>
      <c r="C224" s="362"/>
      <c r="D224" s="230" t="s">
        <v>210</v>
      </c>
      <c r="E224" s="227"/>
      <c r="F224" s="690"/>
      <c r="G224" s="367"/>
      <c r="H224" s="367"/>
      <c r="I224" s="368"/>
      <c r="J224" s="712"/>
      <c r="K224" s="885"/>
      <c r="L224" s="885"/>
      <c r="M224" s="886"/>
    </row>
    <row r="225" spans="1:13">
      <c r="A225" s="250"/>
      <c r="B225" s="214"/>
      <c r="C225" s="362"/>
      <c r="D225" s="230" t="s">
        <v>211</v>
      </c>
      <c r="E225" s="227"/>
      <c r="F225" s="690"/>
      <c r="G225" s="367"/>
      <c r="H225" s="367"/>
      <c r="I225" s="368"/>
      <c r="J225" s="712"/>
      <c r="K225" s="885"/>
      <c r="L225" s="885"/>
      <c r="M225" s="886"/>
    </row>
    <row r="226" spans="1:13">
      <c r="A226" s="250"/>
      <c r="B226" s="214"/>
      <c r="C226" s="362"/>
      <c r="D226" s="230" t="s">
        <v>212</v>
      </c>
      <c r="E226" s="227"/>
      <c r="F226" s="690"/>
      <c r="G226" s="367"/>
      <c r="H226" s="367"/>
      <c r="I226" s="368"/>
      <c r="J226" s="712"/>
      <c r="K226" s="885"/>
      <c r="L226" s="885"/>
      <c r="M226" s="886"/>
    </row>
    <row r="227" spans="1:13">
      <c r="A227" s="250"/>
      <c r="B227" s="214"/>
      <c r="C227" s="362"/>
      <c r="D227" s="230" t="s">
        <v>213</v>
      </c>
      <c r="E227" s="227"/>
      <c r="F227" s="690"/>
      <c r="G227" s="367"/>
      <c r="H227" s="367"/>
      <c r="I227" s="368"/>
      <c r="J227" s="712"/>
      <c r="K227" s="885"/>
      <c r="L227" s="885"/>
      <c r="M227" s="886"/>
    </row>
    <row r="228" spans="1:13">
      <c r="A228" s="250"/>
      <c r="B228" s="214"/>
      <c r="C228" s="362"/>
      <c r="D228" s="230" t="s">
        <v>214</v>
      </c>
      <c r="E228" s="227"/>
      <c r="F228" s="690"/>
      <c r="G228" s="367"/>
      <c r="H228" s="367"/>
      <c r="I228" s="368"/>
      <c r="J228" s="712"/>
      <c r="K228" s="885"/>
      <c r="L228" s="885"/>
      <c r="M228" s="886"/>
    </row>
    <row r="229" spans="1:13">
      <c r="A229" s="250"/>
      <c r="B229" s="214"/>
      <c r="C229" s="362"/>
      <c r="D229" s="230" t="s">
        <v>215</v>
      </c>
      <c r="E229" s="227"/>
      <c r="F229" s="690"/>
      <c r="G229" s="367"/>
      <c r="H229" s="367"/>
      <c r="I229" s="368"/>
      <c r="J229" s="712"/>
      <c r="K229" s="885"/>
      <c r="L229" s="885"/>
      <c r="M229" s="886"/>
    </row>
    <row r="230" spans="1:13">
      <c r="A230" s="250"/>
      <c r="B230" s="214"/>
      <c r="C230" s="362"/>
      <c r="D230" s="230" t="s">
        <v>216</v>
      </c>
      <c r="E230" s="227"/>
      <c r="F230" s="690"/>
      <c r="G230" s="367"/>
      <c r="H230" s="367"/>
      <c r="I230" s="368"/>
      <c r="J230" s="712"/>
      <c r="K230" s="885"/>
      <c r="L230" s="885"/>
      <c r="M230" s="886"/>
    </row>
    <row r="231" spans="1:13">
      <c r="A231" s="250"/>
      <c r="B231" s="214"/>
      <c r="C231" s="362"/>
      <c r="D231" s="369" t="s">
        <v>217</v>
      </c>
      <c r="E231" s="307"/>
      <c r="F231" s="690"/>
      <c r="G231" s="367"/>
      <c r="H231" s="367"/>
      <c r="I231" s="368"/>
      <c r="J231" s="713"/>
      <c r="K231" s="970"/>
      <c r="L231" s="970"/>
      <c r="M231" s="971"/>
    </row>
    <row r="232" spans="1:13">
      <c r="A232" s="250"/>
      <c r="B232" s="214"/>
      <c r="C232" s="214"/>
      <c r="D232" s="230" t="s">
        <v>218</v>
      </c>
      <c r="E232" s="227"/>
      <c r="F232" s="690"/>
      <c r="G232" s="367"/>
      <c r="H232" s="367"/>
      <c r="I232" s="368"/>
      <c r="J232" s="714"/>
      <c r="K232" s="432"/>
      <c r="L232" s="432"/>
      <c r="M232" s="949"/>
    </row>
    <row r="233" spans="1:13">
      <c r="A233" s="250"/>
      <c r="B233" s="214"/>
      <c r="C233" s="214"/>
      <c r="D233" s="370" t="s">
        <v>219</v>
      </c>
      <c r="E233" s="371"/>
      <c r="F233" s="690"/>
      <c r="G233" s="367"/>
      <c r="H233" s="367"/>
      <c r="I233" s="368"/>
      <c r="J233" s="715"/>
      <c r="K233" s="972"/>
      <c r="L233" s="972"/>
      <c r="M233" s="973"/>
    </row>
    <row r="234" spans="1:13">
      <c r="A234" s="250"/>
      <c r="B234" s="214"/>
      <c r="C234" s="362"/>
      <c r="D234" s="230" t="s">
        <v>220</v>
      </c>
      <c r="E234" s="227"/>
      <c r="F234" s="690"/>
      <c r="G234" s="367"/>
      <c r="H234" s="367"/>
      <c r="I234" s="368"/>
      <c r="J234" s="712"/>
      <c r="K234" s="885"/>
      <c r="L234" s="885"/>
      <c r="M234" s="886"/>
    </row>
    <row r="235" spans="1:13">
      <c r="A235" s="250"/>
      <c r="B235" s="214"/>
      <c r="C235" s="362"/>
      <c r="D235" s="369" t="s">
        <v>221</v>
      </c>
      <c r="E235" s="307"/>
      <c r="F235" s="372"/>
      <c r="G235" s="373"/>
      <c r="H235" s="373"/>
      <c r="I235" s="374"/>
      <c r="J235" s="713"/>
      <c r="K235" s="970"/>
      <c r="L235" s="970"/>
      <c r="M235" s="971"/>
    </row>
    <row r="236" spans="1:13">
      <c r="A236" s="250"/>
      <c r="B236" s="214"/>
      <c r="C236" s="362"/>
      <c r="D236" s="369" t="s">
        <v>222</v>
      </c>
      <c r="E236" s="227"/>
      <c r="F236" s="690"/>
      <c r="G236" s="367"/>
      <c r="H236" s="367"/>
      <c r="I236" s="368"/>
      <c r="J236" s="714"/>
      <c r="K236" s="432"/>
      <c r="L236" s="432"/>
      <c r="M236" s="949"/>
    </row>
    <row r="237" spans="1:13">
      <c r="A237" s="250"/>
      <c r="B237" s="214"/>
      <c r="C237" s="362"/>
      <c r="D237" s="230" t="s">
        <v>223</v>
      </c>
      <c r="E237" s="227"/>
      <c r="F237" s="690"/>
      <c r="G237" s="367"/>
      <c r="H237" s="367"/>
      <c r="I237" s="368"/>
      <c r="J237" s="712"/>
      <c r="K237" s="885"/>
      <c r="L237" s="885"/>
      <c r="M237" s="886"/>
    </row>
    <row r="238" spans="1:13" ht="14.25" thickBot="1">
      <c r="A238" s="375"/>
      <c r="B238" s="376"/>
      <c r="C238" s="377"/>
      <c r="D238" s="378" t="s">
        <v>224</v>
      </c>
      <c r="E238" s="379"/>
      <c r="F238" s="380"/>
      <c r="G238" s="381"/>
      <c r="H238" s="381"/>
      <c r="I238" s="382"/>
      <c r="J238" s="716"/>
      <c r="K238" s="974"/>
      <c r="L238" s="974"/>
      <c r="M238" s="975"/>
    </row>
    <row r="239" spans="1:13">
      <c r="K239" s="927"/>
      <c r="L239" s="927"/>
      <c r="M239" s="927"/>
    </row>
    <row r="240" spans="1:13" ht="14.25" thickBot="1">
      <c r="A240" s="215" t="s">
        <v>225</v>
      </c>
      <c r="B240" s="219"/>
      <c r="C240" s="219"/>
      <c r="D240" s="219"/>
      <c r="E240" s="219"/>
      <c r="F240" s="219"/>
      <c r="G240" s="219"/>
      <c r="H240" s="219"/>
      <c r="I240" s="219"/>
      <c r="J240" s="219"/>
      <c r="K240" s="963"/>
      <c r="L240" s="963"/>
      <c r="M240" s="963"/>
    </row>
    <row r="241" spans="1:13">
      <c r="A241" s="248"/>
      <c r="B241" s="249"/>
      <c r="C241" s="249"/>
      <c r="D241" s="249"/>
      <c r="E241" s="249"/>
      <c r="F241" s="1104" t="s">
        <v>311</v>
      </c>
      <c r="G241" s="1105"/>
      <c r="H241" s="1105"/>
      <c r="I241" s="1106"/>
      <c r="J241" s="1107" t="s">
        <v>266</v>
      </c>
      <c r="K241" s="1107" t="s">
        <v>329</v>
      </c>
      <c r="L241" s="1107" t="s">
        <v>333</v>
      </c>
      <c r="M241" s="1119" t="s">
        <v>331</v>
      </c>
    </row>
    <row r="242" spans="1:13" ht="14.25" thickBot="1">
      <c r="A242" s="250"/>
      <c r="B242" s="214"/>
      <c r="C242" s="214"/>
      <c r="D242" s="214"/>
      <c r="E242" s="214"/>
      <c r="F242" s="251"/>
      <c r="G242" s="252" t="s">
        <v>259</v>
      </c>
      <c r="H242" s="253" t="s">
        <v>260</v>
      </c>
      <c r="I242" s="254" t="s">
        <v>261</v>
      </c>
      <c r="J242" s="1108"/>
      <c r="K242" s="1118"/>
      <c r="L242" s="1118"/>
      <c r="M242" s="1120"/>
    </row>
    <row r="243" spans="1:13">
      <c r="A243" s="248" t="s">
        <v>195</v>
      </c>
      <c r="B243" s="249"/>
      <c r="C243" s="383"/>
      <c r="D243" s="384" t="s">
        <v>196</v>
      </c>
      <c r="E243" s="385"/>
      <c r="F243" s="359"/>
      <c r="G243" s="386">
        <v>0.5</v>
      </c>
      <c r="H243" s="386">
        <v>0.5</v>
      </c>
      <c r="I243" s="387">
        <v>0.5</v>
      </c>
      <c r="J243" s="706">
        <v>0.5</v>
      </c>
      <c r="K243" s="976">
        <v>0.5</v>
      </c>
      <c r="L243" s="976">
        <v>0.5</v>
      </c>
      <c r="M243" s="977">
        <v>0.5</v>
      </c>
    </row>
    <row r="244" spans="1:13">
      <c r="A244" s="250"/>
      <c r="B244" s="214"/>
      <c r="C244" s="214"/>
      <c r="D244" s="234" t="s">
        <v>197</v>
      </c>
      <c r="E244" s="388"/>
      <c r="F244" s="359"/>
      <c r="G244" s="386">
        <v>0.75</v>
      </c>
      <c r="H244" s="386">
        <v>0.75</v>
      </c>
      <c r="I244" s="387">
        <v>0.75</v>
      </c>
      <c r="J244" s="706">
        <v>0.75</v>
      </c>
      <c r="K244" s="976">
        <v>0.75</v>
      </c>
      <c r="L244" s="976">
        <v>0.75</v>
      </c>
      <c r="M244" s="977">
        <v>0.75</v>
      </c>
    </row>
    <row r="245" spans="1:13">
      <c r="A245" s="250"/>
      <c r="B245" s="214"/>
      <c r="C245" s="362"/>
      <c r="D245" s="234" t="s">
        <v>198</v>
      </c>
      <c r="E245" s="388"/>
      <c r="F245" s="359"/>
      <c r="G245" s="386">
        <v>0.75</v>
      </c>
      <c r="H245" s="386">
        <v>0.75</v>
      </c>
      <c r="I245" s="387">
        <v>0.75</v>
      </c>
      <c r="J245" s="706">
        <v>0.75</v>
      </c>
      <c r="K245" s="976">
        <v>0.75</v>
      </c>
      <c r="L245" s="976">
        <v>0.75</v>
      </c>
      <c r="M245" s="977">
        <v>0.75</v>
      </c>
    </row>
    <row r="246" spans="1:13">
      <c r="A246" s="250"/>
      <c r="B246" s="214"/>
      <c r="C246" s="362"/>
      <c r="D246" s="234" t="s">
        <v>199</v>
      </c>
      <c r="E246" s="388"/>
      <c r="F246" s="359"/>
      <c r="G246" s="386">
        <v>0.9</v>
      </c>
      <c r="H246" s="386">
        <v>0.9</v>
      </c>
      <c r="I246" s="387">
        <v>0.9</v>
      </c>
      <c r="J246" s="706">
        <v>0.9</v>
      </c>
      <c r="K246" s="976">
        <v>0.9</v>
      </c>
      <c r="L246" s="976">
        <v>0.9</v>
      </c>
      <c r="M246" s="977">
        <v>0.9</v>
      </c>
    </row>
    <row r="247" spans="1:13">
      <c r="A247" s="250"/>
      <c r="B247" s="214"/>
      <c r="C247" s="362"/>
      <c r="D247" s="234" t="s">
        <v>200</v>
      </c>
      <c r="E247" s="388"/>
      <c r="F247" s="359"/>
      <c r="G247" s="386">
        <v>1</v>
      </c>
      <c r="H247" s="386">
        <v>1</v>
      </c>
      <c r="I247" s="387">
        <v>1</v>
      </c>
      <c r="J247" s="706">
        <v>1</v>
      </c>
      <c r="K247" s="976">
        <v>1</v>
      </c>
      <c r="L247" s="976">
        <v>1</v>
      </c>
      <c r="M247" s="977">
        <v>1</v>
      </c>
    </row>
    <row r="248" spans="1:13">
      <c r="A248" s="250"/>
      <c r="B248" s="214"/>
      <c r="C248" s="362"/>
      <c r="D248" s="234" t="s">
        <v>201</v>
      </c>
      <c r="E248" s="388"/>
      <c r="F248" s="359"/>
      <c r="G248" s="386">
        <v>1.2</v>
      </c>
      <c r="H248" s="386">
        <v>1.2</v>
      </c>
      <c r="I248" s="387">
        <v>1.2</v>
      </c>
      <c r="J248" s="706">
        <v>1.2</v>
      </c>
      <c r="K248" s="976">
        <v>1.2</v>
      </c>
      <c r="L248" s="976">
        <v>1.2</v>
      </c>
      <c r="M248" s="977">
        <v>1.2</v>
      </c>
    </row>
    <row r="249" spans="1:13">
      <c r="A249" s="250"/>
      <c r="B249" s="214"/>
      <c r="C249" s="362"/>
      <c r="D249" s="234" t="s">
        <v>202</v>
      </c>
      <c r="E249" s="388"/>
      <c r="F249" s="359"/>
      <c r="G249" s="386">
        <v>1.3</v>
      </c>
      <c r="H249" s="386">
        <v>1.3</v>
      </c>
      <c r="I249" s="387">
        <v>1.3</v>
      </c>
      <c r="J249" s="706">
        <v>1.3</v>
      </c>
      <c r="K249" s="976">
        <v>1.3</v>
      </c>
      <c r="L249" s="976">
        <v>1.3</v>
      </c>
      <c r="M249" s="977">
        <v>1.3</v>
      </c>
    </row>
    <row r="250" spans="1:13">
      <c r="A250" s="250"/>
      <c r="B250" s="214"/>
      <c r="C250" s="362"/>
      <c r="D250" s="234" t="s">
        <v>203</v>
      </c>
      <c r="E250" s="388"/>
      <c r="F250" s="359"/>
      <c r="G250" s="386">
        <v>1.5</v>
      </c>
      <c r="H250" s="386">
        <v>1.5</v>
      </c>
      <c r="I250" s="387">
        <v>1.5</v>
      </c>
      <c r="J250" s="706">
        <v>1.5</v>
      </c>
      <c r="K250" s="976">
        <v>1.5</v>
      </c>
      <c r="L250" s="976">
        <v>1.5</v>
      </c>
      <c r="M250" s="977">
        <v>1.5</v>
      </c>
    </row>
    <row r="251" spans="1:13">
      <c r="A251" s="250"/>
      <c r="B251" s="214"/>
      <c r="C251" s="362"/>
      <c r="D251" s="234" t="s">
        <v>204</v>
      </c>
      <c r="E251" s="388"/>
      <c r="F251" s="359"/>
      <c r="G251" s="386">
        <v>1.7</v>
      </c>
      <c r="H251" s="386">
        <v>1.7</v>
      </c>
      <c r="I251" s="387">
        <v>1.7</v>
      </c>
      <c r="J251" s="706">
        <v>1.7</v>
      </c>
      <c r="K251" s="976">
        <v>1.7</v>
      </c>
      <c r="L251" s="976">
        <v>1.7</v>
      </c>
      <c r="M251" s="977">
        <v>1.7</v>
      </c>
    </row>
    <row r="252" spans="1:13">
      <c r="A252" s="225" t="s">
        <v>205</v>
      </c>
      <c r="B252" s="283"/>
      <c r="C252" s="283"/>
      <c r="D252" s="234" t="s">
        <v>206</v>
      </c>
      <c r="E252" s="388"/>
      <c r="F252" s="338">
        <v>1200000</v>
      </c>
      <c r="G252" s="367"/>
      <c r="H252" s="367"/>
      <c r="I252" s="368"/>
      <c r="J252" s="707">
        <v>1200000</v>
      </c>
      <c r="K252" s="978">
        <v>1200000</v>
      </c>
      <c r="L252" s="978">
        <v>1200000</v>
      </c>
      <c r="M252" s="979">
        <v>1200000</v>
      </c>
    </row>
    <row r="253" spans="1:13">
      <c r="A253" s="250"/>
      <c r="B253" s="214"/>
      <c r="C253" s="214"/>
      <c r="D253" s="234" t="s">
        <v>207</v>
      </c>
      <c r="E253" s="388"/>
      <c r="F253" s="338">
        <v>2100000</v>
      </c>
      <c r="G253" s="367"/>
      <c r="H253" s="367"/>
      <c r="I253" s="368"/>
      <c r="J253" s="707">
        <v>2100000</v>
      </c>
      <c r="K253" s="978">
        <v>2100000</v>
      </c>
      <c r="L253" s="978">
        <v>2100000</v>
      </c>
      <c r="M253" s="979">
        <v>2100000</v>
      </c>
    </row>
    <row r="254" spans="1:13" ht="14.25" thickBot="1">
      <c r="A254" s="375"/>
      <c r="B254" s="376"/>
      <c r="C254" s="377"/>
      <c r="D254" s="389" t="s">
        <v>208</v>
      </c>
      <c r="E254" s="390"/>
      <c r="F254" s="391">
        <v>3200000</v>
      </c>
      <c r="G254" s="381"/>
      <c r="H254" s="381"/>
      <c r="I254" s="382"/>
      <c r="J254" s="708">
        <v>3200000</v>
      </c>
      <c r="K254" s="980">
        <v>3200000</v>
      </c>
      <c r="L254" s="980">
        <v>3200000</v>
      </c>
      <c r="M254" s="981">
        <v>3200000</v>
      </c>
    </row>
  </sheetData>
  <mergeCells count="26">
    <mergeCell ref="L66:L67"/>
    <mergeCell ref="M66:M67"/>
    <mergeCell ref="K105:K106"/>
    <mergeCell ref="K192:K193"/>
    <mergeCell ref="K241:K242"/>
    <mergeCell ref="L105:L106"/>
    <mergeCell ref="L192:L193"/>
    <mergeCell ref="L241:L242"/>
    <mergeCell ref="M105:M106"/>
    <mergeCell ref="M192:M193"/>
    <mergeCell ref="M241:M242"/>
    <mergeCell ref="F241:I241"/>
    <mergeCell ref="J241:J242"/>
    <mergeCell ref="F105:I105"/>
    <mergeCell ref="J105:J106"/>
    <mergeCell ref="K66:K67"/>
    <mergeCell ref="B188:E188"/>
    <mergeCell ref="B189:E189"/>
    <mergeCell ref="F66:I66"/>
    <mergeCell ref="F192:I192"/>
    <mergeCell ref="J192:J193"/>
    <mergeCell ref="J66:J67"/>
    <mergeCell ref="B73:E73"/>
    <mergeCell ref="C71:E71"/>
    <mergeCell ref="B134:E134"/>
    <mergeCell ref="B161:E161"/>
  </mergeCells>
  <phoneticPr fontId="3"/>
  <dataValidations disablePrompts="1" count="1">
    <dataValidation type="custom" imeMode="off" allowBlank="1" showInputMessage="1" showErrorMessage="1" error="・前の段階と後ろの段階の間の数値を入力してください。_x000a_・前後の段階と同じ割合を入力することはできません。" sqref="G199">
      <formula1>AND(G198&lt;G199,G199&lt;G200)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portrait" r:id="rId1"/>
  <headerFooter>
    <oddHeader>&amp;C「&amp;A」シート</oddHeader>
    <oddFooter>&amp;C&amp;P</oddFooter>
  </headerFooter>
  <rowBreaks count="3" manualBreakCount="3">
    <brk id="64" max="13" man="1"/>
    <brk id="103" max="13" man="1"/>
    <brk id="190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K35"/>
  <sheetViews>
    <sheetView view="pageBreakPreview" zoomScaleNormal="100" zoomScaleSheetLayoutView="100" workbookViewId="0"/>
  </sheetViews>
  <sheetFormatPr defaultRowHeight="11.25"/>
  <cols>
    <col min="1" max="1" customWidth="true" style="982" width="2.625" collapsed="false"/>
    <col min="2" max="2" customWidth="true" style="982" width="4.25" collapsed="false"/>
    <col min="3" max="3" customWidth="true" style="982" width="46.75" collapsed="false"/>
    <col min="4" max="10" customWidth="true" style="982" width="13.0" collapsed="false"/>
    <col min="11" max="11" customWidth="true" style="982" width="1.625" collapsed="false"/>
    <col min="12" max="16384" style="982" width="9.0" collapsed="false"/>
  </cols>
  <sheetData>
    <row r="1" spans="2:10">
      <c r="B1" s="982" t="s">
        <v>122</v>
      </c>
    </row>
    <row r="3" spans="2:10" ht="3" customHeight="1" thickBot="1"/>
    <row r="4" spans="2:10" ht="18.75" customHeight="1" thickBot="1">
      <c r="D4" s="983" t="s">
        <v>297</v>
      </c>
      <c r="E4" s="984" t="s">
        <v>296</v>
      </c>
      <c r="F4" s="984" t="s">
        <v>317</v>
      </c>
      <c r="G4" s="984" t="s">
        <v>318</v>
      </c>
      <c r="H4" s="985" t="s">
        <v>319</v>
      </c>
    </row>
    <row r="5" spans="2:10" ht="18.75" customHeight="1" thickBot="1">
      <c r="C5" s="113" t="s">
        <v>235</v>
      </c>
      <c r="D5" s="114">
        <v>0.23</v>
      </c>
      <c r="E5" s="689">
        <v>0.23400000000000001</v>
      </c>
      <c r="F5" s="689">
        <v>0.24</v>
      </c>
      <c r="G5" s="689">
        <v>0.251</v>
      </c>
      <c r="H5" s="115">
        <v>0.26800000000000002</v>
      </c>
    </row>
    <row r="7" spans="2:10" ht="18.75" customHeight="1" thickBot="1">
      <c r="B7" s="982" t="s">
        <v>423</v>
      </c>
      <c r="D7" s="116"/>
    </row>
    <row r="8" spans="2:10" ht="18.75" customHeight="1" thickBot="1">
      <c r="C8" s="770"/>
      <c r="D8" s="762" t="s">
        <v>298</v>
      </c>
      <c r="E8" s="763" t="s">
        <v>299</v>
      </c>
      <c r="F8" s="763" t="s">
        <v>300</v>
      </c>
      <c r="G8" s="763" t="s">
        <v>301</v>
      </c>
      <c r="H8" s="763" t="s">
        <v>317</v>
      </c>
      <c r="I8" s="763" t="s">
        <v>318</v>
      </c>
      <c r="J8" s="764" t="s">
        <v>319</v>
      </c>
    </row>
    <row r="9" spans="2:10" ht="18.75" customHeight="1">
      <c r="C9" s="771" t="s">
        <v>123</v>
      </c>
      <c r="D9" s="765">
        <v>0.47860000000000003</v>
      </c>
      <c r="E9" s="160">
        <v>0.46250000000000002</v>
      </c>
      <c r="F9" s="160">
        <v>0.44440000000000002</v>
      </c>
      <c r="G9" s="160">
        <v>0.41310000000000002</v>
      </c>
      <c r="H9" s="160">
        <v>0.39079999999999998</v>
      </c>
      <c r="I9" s="160">
        <v>0.41139999999999999</v>
      </c>
      <c r="J9" s="766">
        <v>0.44069999999999998</v>
      </c>
    </row>
    <row r="10" spans="2:10" ht="18.75" customHeight="1">
      <c r="C10" s="772" t="s">
        <v>304</v>
      </c>
      <c r="D10" s="767">
        <v>0.3478</v>
      </c>
      <c r="E10" s="118">
        <v>0.3589</v>
      </c>
      <c r="F10" s="118">
        <v>0.37259999999999999</v>
      </c>
      <c r="G10" s="118">
        <v>0.39639999999999997</v>
      </c>
      <c r="H10" s="118">
        <v>0.39300000000000002</v>
      </c>
      <c r="I10" s="118">
        <v>0.3362</v>
      </c>
      <c r="J10" s="768">
        <v>0.3135</v>
      </c>
    </row>
    <row r="11" spans="2:10" ht="18.75" customHeight="1">
      <c r="C11" s="772" t="s">
        <v>305</v>
      </c>
      <c r="D11" s="767">
        <v>0.17349999999999999</v>
      </c>
      <c r="E11" s="118">
        <v>0.17860000000000001</v>
      </c>
      <c r="F11" s="118">
        <v>0.183</v>
      </c>
      <c r="G11" s="118">
        <v>0.1905</v>
      </c>
      <c r="H11" s="118">
        <v>0.2162</v>
      </c>
      <c r="I11" s="118">
        <v>0.25240000000000001</v>
      </c>
      <c r="J11" s="768">
        <v>0.24579999999999999</v>
      </c>
    </row>
    <row r="12" spans="2:10" ht="18.75" customHeight="1">
      <c r="C12" s="772" t="s">
        <v>255</v>
      </c>
      <c r="D12" s="767">
        <v>4.2799999999999998E-2</v>
      </c>
      <c r="E12" s="118">
        <v>4.2999999999999997E-2</v>
      </c>
      <c r="F12" s="118">
        <v>4.2999999999999997E-2</v>
      </c>
      <c r="G12" s="996"/>
      <c r="H12" s="996"/>
      <c r="I12" s="996"/>
      <c r="J12" s="997"/>
    </row>
    <row r="13" spans="2:10" ht="18.75" customHeight="1">
      <c r="C13" s="772" t="s">
        <v>306</v>
      </c>
      <c r="D13" s="767">
        <v>0.1883</v>
      </c>
      <c r="E13" s="118">
        <v>0.18779999999999999</v>
      </c>
      <c r="F13" s="118">
        <v>0.18679999999999999</v>
      </c>
      <c r="G13" s="996"/>
      <c r="H13" s="996"/>
      <c r="I13" s="996"/>
      <c r="J13" s="997"/>
    </row>
    <row r="14" spans="2:10" ht="18.75" customHeight="1">
      <c r="C14" s="773" t="s">
        <v>307</v>
      </c>
      <c r="D14" s="769">
        <v>0.5897</v>
      </c>
      <c r="E14" s="761">
        <v>0.59040000000000004</v>
      </c>
      <c r="F14" s="761">
        <v>0.59209999999999996</v>
      </c>
      <c r="G14" s="998"/>
      <c r="H14" s="998"/>
      <c r="I14" s="998"/>
      <c r="J14" s="999"/>
    </row>
    <row r="15" spans="2:10" ht="18.75" customHeight="1">
      <c r="C15" s="986" t="s">
        <v>339</v>
      </c>
      <c r="D15" s="987">
        <v>3979</v>
      </c>
      <c r="E15" s="988">
        <v>3979</v>
      </c>
      <c r="F15" s="988">
        <v>3979</v>
      </c>
      <c r="G15" s="988">
        <v>3979</v>
      </c>
      <c r="H15" s="988">
        <v>3979</v>
      </c>
      <c r="I15" s="988">
        <v>3979</v>
      </c>
      <c r="J15" s="989">
        <v>3979</v>
      </c>
    </row>
    <row r="16" spans="2:10" ht="18.75" customHeight="1">
      <c r="C16" s="986" t="s">
        <v>340</v>
      </c>
      <c r="D16" s="987">
        <v>18287</v>
      </c>
      <c r="E16" s="988">
        <v>18287</v>
      </c>
      <c r="F16" s="988">
        <v>18287</v>
      </c>
      <c r="G16" s="988">
        <v>18287</v>
      </c>
      <c r="H16" s="988">
        <v>18287</v>
      </c>
      <c r="I16" s="988">
        <v>18287</v>
      </c>
      <c r="J16" s="989">
        <v>18287</v>
      </c>
    </row>
    <row r="17" spans="2:10" ht="18.75" customHeight="1" thickBot="1">
      <c r="C17" s="990" t="s">
        <v>341</v>
      </c>
      <c r="D17" s="991">
        <v>81065</v>
      </c>
      <c r="E17" s="992">
        <v>81065</v>
      </c>
      <c r="F17" s="992">
        <v>81065</v>
      </c>
      <c r="G17" s="992">
        <v>81065</v>
      </c>
      <c r="H17" s="992">
        <v>81065</v>
      </c>
      <c r="I17" s="992">
        <v>81065</v>
      </c>
      <c r="J17" s="993">
        <v>81065</v>
      </c>
    </row>
    <row r="19" spans="2:10" ht="18.75" customHeight="1" thickBot="1">
      <c r="B19" s="982" t="s">
        <v>422</v>
      </c>
      <c r="D19" s="116"/>
    </row>
    <row r="20" spans="2:10" ht="18.75" customHeight="1">
      <c r="C20" s="120" t="s">
        <v>124</v>
      </c>
      <c r="D20" s="1000">
        <v>0.17710000000000001</v>
      </c>
    </row>
    <row r="21" spans="2:10" ht="18.75" customHeight="1">
      <c r="C21" s="117" t="s">
        <v>125</v>
      </c>
      <c r="D21" s="1001">
        <v>8.5800000000000001E-2</v>
      </c>
    </row>
    <row r="22" spans="2:10" ht="18.75" customHeight="1">
      <c r="C22" s="117" t="s">
        <v>126</v>
      </c>
      <c r="D22" s="1001">
        <v>7.85E-2</v>
      </c>
    </row>
    <row r="23" spans="2:10" ht="18.75" customHeight="1">
      <c r="C23" s="117" t="s">
        <v>127</v>
      </c>
      <c r="D23" s="1001">
        <v>0.12180000000000001</v>
      </c>
    </row>
    <row r="24" spans="2:10" ht="18.75" customHeight="1">
      <c r="C24" s="117" t="s">
        <v>128</v>
      </c>
      <c r="D24" s="1001">
        <v>0.13669999999999999</v>
      </c>
    </row>
    <row r="25" spans="2:10" ht="18.75" customHeight="1">
      <c r="C25" s="117" t="s">
        <v>129</v>
      </c>
      <c r="D25" s="1001">
        <v>0.14230000000000001</v>
      </c>
    </row>
    <row r="26" spans="2:10" ht="18.75" customHeight="1">
      <c r="C26" s="117" t="s">
        <v>130</v>
      </c>
      <c r="D26" s="1001">
        <v>0.1366</v>
      </c>
    </row>
    <row r="27" spans="2:10" ht="18.75" customHeight="1">
      <c r="C27" s="117" t="s">
        <v>131</v>
      </c>
      <c r="D27" s="1001">
        <v>5.9900000000000002E-2</v>
      </c>
    </row>
    <row r="28" spans="2:10" ht="18.75" customHeight="1" thickBot="1">
      <c r="C28" s="119" t="s">
        <v>132</v>
      </c>
      <c r="D28" s="1002">
        <v>6.13E-2</v>
      </c>
    </row>
    <row r="30" spans="2:10" ht="18.75" customHeight="1" thickBot="1">
      <c r="B30" s="982" t="s">
        <v>236</v>
      </c>
      <c r="D30" s="116"/>
    </row>
    <row r="31" spans="2:10" ht="18.75" customHeight="1">
      <c r="C31" s="121" t="s">
        <v>419</v>
      </c>
      <c r="D31" s="122">
        <v>1</v>
      </c>
    </row>
    <row r="32" spans="2:10" ht="18.75" customHeight="1" thickBot="1">
      <c r="C32" s="123" t="s">
        <v>420</v>
      </c>
      <c r="D32" s="124">
        <v>1</v>
      </c>
    </row>
    <row r="34" spans="2:4" ht="18.75" customHeight="1" thickBot="1">
      <c r="B34" s="994"/>
      <c r="D34" s="116"/>
    </row>
    <row r="35" spans="2:4" ht="36" customHeight="1" thickBot="1">
      <c r="C35" s="125" t="s">
        <v>133</v>
      </c>
      <c r="D35" s="126">
        <v>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&amp;C「&amp;A」シート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1_推計値サマリ</vt:lpstr>
      <vt:lpstr>2_サービス別給付費</vt:lpstr>
      <vt:lpstr>3_地域支援事業費</vt:lpstr>
      <vt:lpstr>4_施策反映の解説</vt:lpstr>
      <vt:lpstr>5_保険料推計</vt:lpstr>
      <vt:lpstr>(参考)保険料の推計に要する係数</vt:lpstr>
      <vt:lpstr>'(参考)保険料の推計に要する係数'!Print_Area</vt:lpstr>
      <vt:lpstr>'1_推計値サマリ'!Print_Area</vt:lpstr>
      <vt:lpstr>'2_サービス別給付費'!Print_Area</vt:lpstr>
      <vt:lpstr>'3_地域支援事業費'!Print_Area</vt:lpstr>
      <vt:lpstr>'4_施策反映の解説'!Print_Area</vt:lpstr>
      <vt:lpstr>'5_保険料推計'!Print_Area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2015-10-28T05:07:20Z</dcterms:created>
  <dc:creator>曹福泉</dc:creator>
  <cp:lastModifiedBy>miura tomonori(三浦 大憲 ＴＤＳＬ （ＳＬＣ）［官１Ｓ］（官１Ｓ１）)</cp:lastModifiedBy>
  <cp:lastPrinted>2020-05-18T01:26:12Z</cp:lastPrinted>
  <dcterms:modified xsi:type="dcterms:W3CDTF">2020-12-17T08:54:18Z</dcterms:modified>
</cp:coreProperties>
</file>